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32767" yWindow="32767" windowWidth="19200" windowHeight="6820" tabRatio="803" activeTab="0"/>
  </bookViews>
  <sheets>
    <sheet name="Disclaimer" sheetId="1" r:id="rId1"/>
    <sheet name="Cortec" sheetId="2" r:id="rId2"/>
    <sheet name="Configurator" sheetId="3" r:id="rId3"/>
    <sheet name="Master Text" sheetId="4" r:id="rId4"/>
    <sheet name="Database" sheetId="5" state="hidden" r:id="rId5"/>
    <sheet name="Date Drivers" sheetId="6" state="hidden" r:id="rId6"/>
    <sheet name="language" sheetId="7" state="hidden" r:id="rId7"/>
    <sheet name="prices" sheetId="8" state="hidden" r:id="rId8"/>
  </sheets>
  <definedNames>
    <definedName name="_xlfn.SINGLE" hidden="1">#NAME?</definedName>
    <definedName name="_xlnm.Print_Area" localSheetId="1">'Cortec'!$A$1:$P$65</definedName>
  </definedNames>
  <calcPr fullCalcOnLoad="1"/>
</workbook>
</file>

<file path=xl/sharedStrings.xml><?xml version="1.0" encoding="utf-8"?>
<sst xmlns="http://schemas.openxmlformats.org/spreadsheetml/2006/main" count="770" uniqueCount="192">
  <si>
    <t>Languages</t>
  </si>
  <si>
    <t>En</t>
  </si>
  <si>
    <t>Pt</t>
  </si>
  <si>
    <t>Model Type</t>
  </si>
  <si>
    <t>Modelo</t>
  </si>
  <si>
    <t>English</t>
  </si>
  <si>
    <t>Português</t>
  </si>
  <si>
    <t>Not installed</t>
  </si>
  <si>
    <t>Não instalado</t>
  </si>
  <si>
    <t>Firmware release number</t>
  </si>
  <si>
    <t>Número da liberação de firmware</t>
  </si>
  <si>
    <t>Firmware Version</t>
  </si>
  <si>
    <t>Versão de firmware</t>
  </si>
  <si>
    <t>Hardware Design Suffix</t>
  </si>
  <si>
    <t>Sufixo designador do hardware</t>
  </si>
  <si>
    <t>Issue</t>
  </si>
  <si>
    <t>Emissão</t>
  </si>
  <si>
    <t>Language Selection</t>
  </si>
  <si>
    <t>Seleção de idioma</t>
  </si>
  <si>
    <t xml:space="preserve">Our policy is one of continuous development. Accordingly the design of our products may change at any time. </t>
  </si>
  <si>
    <t>Nossa política é de desenvolvimento contínuo. Portanto o projeto de nossos produtos pode mudar a qualquer momento.</t>
  </si>
  <si>
    <t>Whilst every effort is made to produce up to date literature, this document should only be regarded as a guide and is intended for information purposes only.</t>
  </si>
  <si>
    <t xml:space="preserve">Embora sejam demandados esforços para manter a documentação atualizada, este documento deve ser visto como um guia e destina-se apenas para fins informativos. </t>
  </si>
  <si>
    <t>Its contents do not constitute an offer for sale or advice on the application of any product referred to in it. We cannot be held responsible for any reliance on any decisions taken on its contents without specific advice.</t>
  </si>
  <si>
    <t>Seu conteúdo não constitui uma proposta para venda ou recomendação sobre a aplicação de qualquer produto nele mencionado. Nós não podemos ser responsabilizados por quaisquer consequências em decisões tomadas sobre o seu conteúdo, sem recomendações específicas.</t>
  </si>
  <si>
    <t>Information required with Order</t>
  </si>
  <si>
    <t>Informações requeridas para o pedido</t>
  </si>
  <si>
    <t>Variants</t>
  </si>
  <si>
    <t>Variantes</t>
  </si>
  <si>
    <t>Order Number</t>
  </si>
  <si>
    <t>Código para pedido</t>
  </si>
  <si>
    <t>Key Date</t>
  </si>
  <si>
    <t>A</t>
  </si>
  <si>
    <t>B</t>
  </si>
  <si>
    <t>X</t>
  </si>
  <si>
    <t>C</t>
  </si>
  <si>
    <t>D</t>
  </si>
  <si>
    <t>01</t>
  </si>
  <si>
    <t>Base date</t>
  </si>
  <si>
    <t>Date Drivers start reference</t>
  </si>
  <si>
    <t>Date Drivers finish reference</t>
  </si>
  <si>
    <t>Pos</t>
  </si>
  <si>
    <t>Description</t>
  </si>
  <si>
    <t>Option</t>
  </si>
  <si>
    <t>Option Des</t>
  </si>
  <si>
    <t>Price</t>
  </si>
  <si>
    <t>Avail.</t>
  </si>
  <si>
    <t>Y</t>
  </si>
  <si>
    <t>E</t>
  </si>
  <si>
    <t>F</t>
  </si>
  <si>
    <t>G</t>
  </si>
  <si>
    <t>H</t>
  </si>
  <si>
    <t>Fator lista preço</t>
  </si>
  <si>
    <t>Fator placa trafo</t>
  </si>
  <si>
    <t>Tempo produção</t>
  </si>
  <si>
    <t>Custo mod (R$/h)</t>
  </si>
  <si>
    <t>Production expenses</t>
  </si>
  <si>
    <t>Preço alvo</t>
  </si>
  <si>
    <t>Cost</t>
  </si>
  <si>
    <t>Custo</t>
  </si>
  <si>
    <t>Preço Liq</t>
  </si>
  <si>
    <t>Power Supply 1</t>
  </si>
  <si>
    <t>Fonte de Alimentação 1</t>
  </si>
  <si>
    <t>110-250 Vdc / 100-240 Vac</t>
  </si>
  <si>
    <t>Power Supply 2</t>
  </si>
  <si>
    <t>Fonte de Alimentação 2</t>
  </si>
  <si>
    <t>Mounting Options 1</t>
  </si>
  <si>
    <t>Opção de Montagem 1</t>
  </si>
  <si>
    <t>Mounting Options 2</t>
  </si>
  <si>
    <t>Opção de Montagem 2</t>
  </si>
  <si>
    <t>Ethernet ports on the front</t>
  </si>
  <si>
    <t>Ethernet ports on the rear</t>
  </si>
  <si>
    <t>Rack/Panel mounting</t>
  </si>
  <si>
    <t>DIN rail mounting</t>
  </si>
  <si>
    <t>Porta ethernet na frente</t>
  </si>
  <si>
    <t>Porta ethernet na traseira</t>
  </si>
  <si>
    <t>Montagem em rack/painel</t>
  </si>
  <si>
    <t>Montagem em trilho DIN</t>
  </si>
  <si>
    <t>R</t>
  </si>
  <si>
    <t>P</t>
  </si>
  <si>
    <t>Interface Module 1</t>
  </si>
  <si>
    <t>Módulo de Interface 1</t>
  </si>
  <si>
    <t>Interface Module 2</t>
  </si>
  <si>
    <t>Interface Module 3</t>
  </si>
  <si>
    <t>Interface Module 4</t>
  </si>
  <si>
    <t>Interface Module 5</t>
  </si>
  <si>
    <t>Interface Module 6</t>
  </si>
  <si>
    <t>Módulo de Interface 2</t>
  </si>
  <si>
    <t>Módulo de Interface 3</t>
  </si>
  <si>
    <t>Módulo de Interface 4</t>
  </si>
  <si>
    <t>Módulo de Interface 5</t>
  </si>
  <si>
    <t>Módulo de Interface 6</t>
  </si>
  <si>
    <t>Two 1 Gbps RJ45 copper 100BASE-TX/1000BASE-T Ethernet ports</t>
  </si>
  <si>
    <t>Two slots for up to 1 Gbps SFP transceivers</t>
  </si>
  <si>
    <t>Two 1 Gbps LC-type connector multi mode fiber 1000BASE-SX Ethernet for up to 0.5 km</t>
  </si>
  <si>
    <t>Two 1 Gbps LC-type connector single mode fiber 1000BASE-LX Ethernet for up to 10 km</t>
  </si>
  <si>
    <t>Two 1 Gbps LC-type connector single mode fiber 1000BASE-ZX Ethernet for up to 40 km</t>
  </si>
  <si>
    <t>Two 1 Gbps LC-type connector single mode fiber 1000BASE-ZX Ethernet for up to 80 km</t>
  </si>
  <si>
    <t>Two 100 Mbps ST-type connector multi mode fiber 100BASE-FX Ethernet for up to 2 km</t>
  </si>
  <si>
    <t>Two 100 Mbps LC-type connector multi mode fiber 100BASE-FX Ethernet for up to 2 km</t>
  </si>
  <si>
    <t>Duas portas ethernet 1 Gbps 100BASE-TX/1000BASE-T conector elétrico RJ45</t>
  </si>
  <si>
    <t>Dois slots SFP para um transceiver 1 Gbps</t>
  </si>
  <si>
    <t>Duas portas ethernet para até 0,5 km 1 Gbps 1000BASE-LX conector fibra multimodo LC</t>
  </si>
  <si>
    <t>Duas portas ethernet para até 10 km 1 Gbps 1000BASE-LX conector fibra monomodo LC</t>
  </si>
  <si>
    <t>Duas portas ethernet para até 40 km 1 Gbps 1000BASE-LX conector fibra monomodo LC</t>
  </si>
  <si>
    <t>Duas portas ethernet para até 80 km 1 Gbps 1000BASE-LX conector fibra monomodo LC</t>
  </si>
  <si>
    <t>Duas portas ethernet para até 2 km 100 Mbps 100BASE-FX conector fibra multimodo ST</t>
  </si>
  <si>
    <t>Duas portas ethernet para até 2 km 100 Mbps 100BASE-FX conector fibra multimodo LC</t>
  </si>
  <si>
    <t>PTP Support</t>
  </si>
  <si>
    <t>Suporte a PTP</t>
  </si>
  <si>
    <t>With PTP (IEEE 1588) support</t>
  </si>
  <si>
    <t>Without PTP (IEEE 1588) support</t>
  </si>
  <si>
    <t>Com suporte a PTP (IEEE 1588)</t>
  </si>
  <si>
    <t>Sem suporte a PTP (IEEE 1588)</t>
  </si>
  <si>
    <t>T1000</t>
  </si>
  <si>
    <t>Original created</t>
  </si>
  <si>
    <t>Removed module option R on Interface 3</t>
  </si>
  <si>
    <t>Inicial</t>
  </si>
  <si>
    <t>Removido módulo opção R na interface 3</t>
  </si>
  <si>
    <t>Referências a formação  preço</t>
  </si>
  <si>
    <t>Incluído a opção da fonte de 48Vdc</t>
  </si>
  <si>
    <t>48Vdc power supply option included</t>
  </si>
  <si>
    <t>48 Vdc</t>
  </si>
  <si>
    <t>AL included to Hardware Design Suffix</t>
  </si>
  <si>
    <t>AL incluido para Sufixo designador do hardware</t>
  </si>
  <si>
    <t>Versão de hardware standard</t>
  </si>
  <si>
    <t>Standard hardware release</t>
  </si>
  <si>
    <t>Alternate hardware release</t>
  </si>
  <si>
    <t>Versão de hardware alternada</t>
  </si>
  <si>
    <t>Modular Managed Ethernet Switch Gigabit</t>
  </si>
  <si>
    <t>Switch Ethernet Gigabit Gerenciável modular</t>
  </si>
  <si>
    <t>Latest available firmware</t>
  </si>
  <si>
    <t>Legacy firmware</t>
  </si>
  <si>
    <t>Última versão disponível</t>
  </si>
  <si>
    <t>Versão legada</t>
  </si>
  <si>
    <t>02</t>
  </si>
  <si>
    <t>100-250 Vdc / 110-240 Vac</t>
  </si>
  <si>
    <t>24-48 Vdc</t>
  </si>
  <si>
    <t>New major firmware release, corrected power supplies description</t>
  </si>
  <si>
    <t>Nova versão major de firmware, corrigida a descrição das fontes de alimentação</t>
  </si>
  <si>
    <t>One 1 Gbps LC-type connector multi mode fiber 1000BASE-SX Ethernet for up to 0.5 km</t>
  </si>
  <si>
    <t>One 100 Mbps LC-type connector multi mode fiber 100BASE-FX Ethernet for up to 2 km</t>
  </si>
  <si>
    <t>One 1 Gbps RJ45 copper 100BASE-TX/1000BASE-T Ethernet ports</t>
  </si>
  <si>
    <t>One 1 Gbps LC-type connector single mode fiber 1000BASE-LX Ethernet for up to 10 km</t>
  </si>
  <si>
    <t>One 100 Mbps LC-type connector single mode fiber 100BASE-FX Ethernet for up to 2 km</t>
  </si>
  <si>
    <t>One 100 Mbps LC-type connector single mode fiber 100BASE-FX Ethernet for up to 15 km</t>
  </si>
  <si>
    <t>None</t>
  </si>
  <si>
    <t>H49 IEC61850 HSR/PRP Switch</t>
  </si>
  <si>
    <t>Port 1</t>
  </si>
  <si>
    <t>Port 2</t>
  </si>
  <si>
    <t>Port 3</t>
  </si>
  <si>
    <t>Port 4</t>
  </si>
  <si>
    <t>Port 5</t>
  </si>
  <si>
    <t>Port 6</t>
  </si>
  <si>
    <t>H49</t>
  </si>
  <si>
    <t>1 - 3</t>
  </si>
  <si>
    <t>Design Suffix</t>
  </si>
  <si>
    <t>Initial Issue</t>
  </si>
  <si>
    <t>Reserved</t>
  </si>
  <si>
    <t>1-3</t>
  </si>
  <si>
    <t xml:space="preserve"> </t>
  </si>
  <si>
    <t>Disclaimer / Décharge / Descarga</t>
  </si>
  <si>
    <t>Disclaimer</t>
  </si>
  <si>
    <t>Our policy is one of continuous development. Accordingly the design of our products may change at any time.</t>
  </si>
  <si>
    <t xml:space="preserve">Whilst every effort is made to produce up to date literature, this document should only be regarded as a guide </t>
  </si>
  <si>
    <t>and is intended for information purposes only.</t>
  </si>
  <si>
    <t>Its contents do not constitute an offer for sale or advice on the application of any product referred to in it.</t>
  </si>
  <si>
    <t>We cannot be held responsible for any reliance on any decisions taken on its contents without specific advice.</t>
  </si>
  <si>
    <t>Décharge</t>
  </si>
  <si>
    <t>Nous avons une politique de développement permanent.</t>
  </si>
  <si>
    <t>Par conséquent, la conception de nos produits risque de subir des modifications à tout moment.</t>
  </si>
  <si>
    <t>Bien que nous nous efforcions de tenir notre documentation à jour, ce brochure ne devra être considérée</t>
  </si>
  <si>
    <t>que comme guide à des fins d’information seulement.</t>
  </si>
  <si>
    <t>Son contenu n’a pas titre d’offre de vente ou d’assistance technique sur l’application d’un produit mentionné.</t>
  </si>
  <si>
    <t>Descarga</t>
  </si>
  <si>
    <t>Nuestra política se basa en un desarrollo continuo.</t>
  </si>
  <si>
    <t>Por este motivo, el diseño de nuestros productos puede experimentar cambios en cualquier momento.</t>
  </si>
  <si>
    <t>Realizamos el máximo esfuerzo para producir documentación actualizada. Estas páginas sólo tienen valor informativo.</t>
  </si>
  <si>
    <t>Su contenido no constituye en modo alguno una proposición de venta o asesoramiento en relación con ninguno de los productos</t>
  </si>
  <si>
    <t>mencionados.</t>
  </si>
  <si>
    <t>Declinamos toda responsabilidad por las decisiones que se adopten basándose en su contenido sin notificación al respecto.</t>
  </si>
  <si>
    <t>Cortec</t>
  </si>
  <si>
    <t>Date</t>
  </si>
  <si>
    <t>Evolution</t>
  </si>
  <si>
    <t>Creation</t>
  </si>
  <si>
    <t>IEC61850 HSR/PRP Switch</t>
  </si>
  <si>
    <t>Ordering information for H49 IEC61850 HSR/PRP Switch</t>
  </si>
  <si>
    <t>Cortec fix (digit 7)</t>
  </si>
  <si>
    <t>Product released by CID005122 - 11/07/2016</t>
  </si>
  <si>
    <t>Release reference added to Master Text</t>
  </si>
  <si>
    <t>Factory Determined</t>
  </si>
  <si>
    <t>*</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</si>
</sst>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R$&quot;\ #,##0;\-&quot;R$&quot;\ #,##0"/>
    <numFmt numFmtId="181" formatCode="&quot;R$&quot;\ #,##0;[Red]\-&quot;R$&quot;\ #,##0"/>
    <numFmt numFmtId="182" formatCode="&quot;R$&quot;\ #,##0.00;\-&quot;R$&quot;\ #,##0.00"/>
    <numFmt numFmtId="183" formatCode="&quot;R$&quot;\ #,##0.00;[Red]\-&quot;R$&quot;\ #,##0.00"/>
    <numFmt numFmtId="184" formatCode="_-&quot;R$&quot;\ * #,##0_-;\-&quot;R$&quot;\ * #,##0_-;_-&quot;R$&quot;\ * &quot;-&quot;_-;_-@_-"/>
    <numFmt numFmtId="185" formatCode="_-&quot;R$&quot;\ * #,##0.00_-;\-&quot;R$&quot;\ * #,##0.00_-;_-&quot;R$&quot;\ * &quot;-&quot;??_-;_-@_-"/>
  </numFmts>
  <fonts count="65">
    <font>
      <sz val="11"/>
      <color theme="1"/>
      <name val="Calibri"/>
      <family val="2"/>
    </font>
    <font>
      <sz val="11"/>
      <color indexed="8"/>
      <name val="Calibri"/>
      <family val="2"/>
    </font>
    <font>
      <sz val="9"/>
      <color indexed="8"/>
      <name val="Arial"/>
      <family val="2"/>
    </font>
    <font>
      <b/>
      <sz val="9"/>
      <color indexed="10"/>
      <name val="Arial"/>
      <family val="2"/>
    </font>
    <font>
      <b/>
      <sz val="9"/>
      <color indexed="8"/>
      <name val="Arial"/>
      <family val="2"/>
    </font>
    <font>
      <sz val="9"/>
      <name val="Arial"/>
      <family val="2"/>
    </font>
    <font>
      <b/>
      <sz val="14"/>
      <color indexed="8"/>
      <name val="Arial"/>
      <family val="2"/>
    </font>
    <font>
      <sz val="11"/>
      <color indexed="8"/>
      <name val="Arial"/>
      <family val="2"/>
    </font>
    <font>
      <sz val="10"/>
      <color indexed="8"/>
      <name val="Arial"/>
      <family val="2"/>
    </font>
    <font>
      <sz val="12"/>
      <color indexed="8"/>
      <name val="Arial"/>
      <family val="2"/>
    </font>
    <font>
      <sz val="14"/>
      <color indexed="8"/>
      <name val="Arial"/>
      <family val="2"/>
    </font>
    <font>
      <b/>
      <sz val="14"/>
      <color indexed="10"/>
      <name val="Arial"/>
      <family val="2"/>
    </font>
    <font>
      <b/>
      <sz val="12"/>
      <color indexed="12"/>
      <name val="Arial"/>
      <family val="2"/>
    </font>
    <font>
      <sz val="10"/>
      <name val="Arial"/>
      <family val="2"/>
    </font>
    <font>
      <sz val="10"/>
      <color indexed="9"/>
      <name val="Arial"/>
      <family val="2"/>
    </font>
    <font>
      <b/>
      <sz val="10"/>
      <name val="Arial"/>
      <family val="2"/>
    </font>
    <font>
      <b/>
      <sz val="12"/>
      <color indexed="10"/>
      <name val="Arial"/>
      <family val="2"/>
    </font>
    <font>
      <b/>
      <sz val="11"/>
      <color indexed="8"/>
      <name val="Arial"/>
      <family val="2"/>
    </font>
    <font>
      <sz val="11"/>
      <color indexed="10"/>
      <name val="Arial"/>
      <family val="2"/>
    </font>
    <font>
      <sz val="8"/>
      <name val="Calibri"/>
      <family val="2"/>
    </font>
    <font>
      <b/>
      <sz val="10"/>
      <color indexed="8"/>
      <name val="Arial"/>
      <family val="2"/>
    </font>
    <font>
      <b/>
      <sz val="14"/>
      <name val="Arial"/>
      <family val="2"/>
    </font>
    <font>
      <b/>
      <sz val="16"/>
      <color indexed="12"/>
      <name val="Times New Roman"/>
      <family val="1"/>
    </font>
    <font>
      <b/>
      <sz val="11"/>
      <name val="Arial"/>
      <family val="2"/>
    </font>
    <font>
      <b/>
      <sz val="11"/>
      <color indexed="9"/>
      <name val="Arial"/>
      <family val="2"/>
    </font>
    <font>
      <b/>
      <sz val="10"/>
      <color indexed="9"/>
      <name val="Arial"/>
      <family val="2"/>
    </font>
    <font>
      <b/>
      <sz val="9"/>
      <name val="Arial"/>
      <family val="2"/>
    </font>
    <font>
      <sz val="9.5"/>
      <name val="Arial"/>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1"/>
      <color indexed="12"/>
      <name val="Calibri"/>
      <family val="2"/>
    </font>
    <font>
      <u val="single"/>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55"/>
        <bgColor indexed="64"/>
      </patternFill>
    </fill>
    <fill>
      <patternFill patternType="solid">
        <fgColor indexed="8"/>
        <bgColor indexed="64"/>
      </patternFill>
    </fill>
    <fill>
      <patternFill patternType="solid">
        <fgColor indexed="22"/>
        <bgColor indexed="64"/>
      </patternFill>
    </fill>
    <fill>
      <patternFill patternType="solid">
        <fgColor indexed="23"/>
        <bgColor indexed="64"/>
      </patternFill>
    </fill>
    <fill>
      <patternFill patternType="solid">
        <fgColor indexed="44"/>
        <bgColor indexed="64"/>
      </patternFill>
    </fill>
    <fill>
      <patternFill patternType="solid">
        <fgColor theme="0"/>
        <bgColor indexed="64"/>
      </patternFill>
    </fill>
    <fill>
      <patternFill patternType="solid">
        <fgColor indexed="26"/>
        <bgColor indexed="64"/>
      </patternFill>
    </fill>
    <fill>
      <patternFill patternType="solid">
        <fgColor indexed="9"/>
        <bgColor indexed="64"/>
      </patternFill>
    </fill>
    <fill>
      <patternFill patternType="solid">
        <fgColor indexed="48"/>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style="thin"/>
    </border>
    <border>
      <left style="thin"/>
      <right style="thin"/>
      <top>
        <color indexed="63"/>
      </top>
      <bottom>
        <color indexed="63"/>
      </bottom>
    </border>
    <border>
      <left style="thin"/>
      <right style="thin"/>
      <top>
        <color indexed="63"/>
      </top>
      <bottom style="thin"/>
    </border>
    <border>
      <left/>
      <right/>
      <top/>
      <bottom style="thin"/>
    </border>
    <border>
      <left/>
      <right/>
      <top style="thin"/>
      <bottom/>
    </border>
    <border>
      <left>
        <color indexed="63"/>
      </left>
      <right style="thin"/>
      <top>
        <color indexed="63"/>
      </top>
      <bottom>
        <color indexed="63"/>
      </bottom>
    </border>
    <border>
      <left style="thin"/>
      <right>
        <color indexed="63"/>
      </right>
      <top style="thin"/>
      <bottom>
        <color indexed="63"/>
      </bottom>
    </border>
    <border>
      <left/>
      <right style="thin"/>
      <top style="thin"/>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thin"/>
      <bottom style="thin"/>
    </border>
    <border>
      <left style="medium"/>
      <right>
        <color indexed="63"/>
      </right>
      <top style="thin"/>
      <bottom>
        <color indexed="63"/>
      </bottom>
    </border>
    <border>
      <left style="thin"/>
      <right>
        <color indexed="63"/>
      </right>
      <top style="thin"/>
      <bottom style="thin"/>
    </border>
    <border>
      <left style="thin"/>
      <right style="thin"/>
      <top style="thin"/>
      <bottom>
        <color indexed="63"/>
      </bottom>
    </border>
    <border>
      <left>
        <color indexed="63"/>
      </left>
      <right style="thin"/>
      <top style="thin"/>
      <bottom style="thin"/>
    </border>
    <border>
      <left>
        <color indexed="63"/>
      </left>
      <right style="medium"/>
      <top style="thin"/>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185" fontId="1" fillId="0" borderId="0" applyFont="0" applyFill="0" applyBorder="0" applyAlignment="0" applyProtection="0"/>
    <xf numFmtId="184" fontId="1" fillId="0" borderId="0" applyFon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13" fillId="0" borderId="0">
      <alignment/>
      <protection/>
    </xf>
    <xf numFmtId="0" fontId="13" fillId="0" borderId="0">
      <alignment/>
      <protection/>
    </xf>
    <xf numFmtId="0" fontId="1" fillId="32" borderId="7" applyNumberFormat="0" applyFont="0" applyAlignment="0" applyProtection="0"/>
    <xf numFmtId="0" fontId="61" fillId="27" borderId="8" applyNumberFormat="0" applyAlignment="0" applyProtection="0"/>
    <xf numFmtId="9" fontId="1"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263">
    <xf numFmtId="0" fontId="0" fillId="0" borderId="0" xfId="0" applyFont="1" applyAlignment="1">
      <alignment/>
    </xf>
    <xf numFmtId="0" fontId="2" fillId="0" borderId="0" xfId="0" applyFont="1" applyAlignment="1">
      <alignment horizontal="center" vertical="center"/>
    </xf>
    <xf numFmtId="0" fontId="2" fillId="0" borderId="0" xfId="0" applyFont="1" applyAlignment="1">
      <alignment/>
    </xf>
    <xf numFmtId="0" fontId="2" fillId="0" borderId="0" xfId="0" applyFont="1" applyAlignment="1">
      <alignment horizontal="center"/>
    </xf>
    <xf numFmtId="0" fontId="2" fillId="0" borderId="0" xfId="0" applyFont="1" applyAlignment="1">
      <alignment wrapText="1"/>
    </xf>
    <xf numFmtId="0" fontId="2" fillId="33" borderId="10" xfId="0" applyFont="1" applyFill="1" applyBorder="1" applyAlignment="1">
      <alignment horizontal="center" vertical="center"/>
    </xf>
    <xf numFmtId="0" fontId="2" fillId="33" borderId="11" xfId="0" applyFont="1" applyFill="1" applyBorder="1" applyAlignment="1">
      <alignment/>
    </xf>
    <xf numFmtId="0" fontId="2" fillId="33" borderId="10" xfId="0" applyFont="1" applyFill="1" applyBorder="1" applyAlignment="1">
      <alignment horizontal="center"/>
    </xf>
    <xf numFmtId="0" fontId="2" fillId="0" borderId="0" xfId="0" applyFont="1" applyBorder="1" applyAlignment="1">
      <alignment/>
    </xf>
    <xf numFmtId="0" fontId="2" fillId="0" borderId="12" xfId="0" applyFont="1" applyBorder="1" applyAlignment="1">
      <alignment horizontal="center" vertical="center"/>
    </xf>
    <xf numFmtId="0" fontId="2" fillId="0" borderId="12" xfId="0" applyFont="1" applyBorder="1" applyAlignment="1">
      <alignment horizontal="center"/>
    </xf>
    <xf numFmtId="0" fontId="2" fillId="0" borderId="13" xfId="0" applyFont="1" applyBorder="1" applyAlignment="1">
      <alignment horizontal="center" vertical="center"/>
    </xf>
    <xf numFmtId="0" fontId="2" fillId="0" borderId="14" xfId="0" applyFont="1" applyBorder="1" applyAlignment="1">
      <alignment/>
    </xf>
    <xf numFmtId="0" fontId="2" fillId="0" borderId="13" xfId="0" applyFont="1" applyBorder="1" applyAlignment="1">
      <alignment horizontal="center"/>
    </xf>
    <xf numFmtId="0" fontId="2" fillId="0" borderId="0" xfId="0" applyFont="1" applyAlignment="1">
      <alignment vertical="center" wrapText="1"/>
    </xf>
    <xf numFmtId="0" fontId="2" fillId="0" borderId="0" xfId="0" applyFont="1" applyAlignment="1">
      <alignment/>
    </xf>
    <xf numFmtId="0" fontId="4" fillId="0" borderId="15" xfId="0" applyFont="1" applyBorder="1" applyAlignment="1">
      <alignment/>
    </xf>
    <xf numFmtId="0" fontId="2" fillId="0" borderId="16" xfId="0" applyFont="1" applyBorder="1" applyAlignment="1">
      <alignment horizontal="center"/>
    </xf>
    <xf numFmtId="0" fontId="4" fillId="0" borderId="0" xfId="0" applyFont="1" applyBorder="1" applyAlignment="1">
      <alignment/>
    </xf>
    <xf numFmtId="0" fontId="2" fillId="0" borderId="14" xfId="0" applyFont="1" applyBorder="1" applyAlignment="1">
      <alignment/>
    </xf>
    <xf numFmtId="0" fontId="2" fillId="0" borderId="15" xfId="0" applyFont="1" applyBorder="1" applyAlignment="1">
      <alignment horizontal="center" vertical="center"/>
    </xf>
    <xf numFmtId="0" fontId="2" fillId="0" borderId="0" xfId="0" applyFont="1" applyBorder="1" applyAlignment="1">
      <alignment horizontal="center" vertical="center"/>
    </xf>
    <xf numFmtId="0" fontId="2" fillId="0" borderId="0" xfId="0" applyFont="1" applyAlignment="1">
      <alignment horizontal="center" vertical="center"/>
    </xf>
    <xf numFmtId="0" fontId="2" fillId="0" borderId="10" xfId="0" applyFont="1" applyBorder="1" applyAlignment="1">
      <alignment horizontal="center"/>
    </xf>
    <xf numFmtId="14" fontId="3" fillId="0" borderId="15" xfId="0" applyNumberFormat="1" applyFont="1" applyBorder="1" applyAlignment="1">
      <alignment horizontal="left"/>
    </xf>
    <xf numFmtId="14" fontId="2" fillId="0" borderId="0" xfId="0" applyNumberFormat="1" applyFont="1" applyBorder="1" applyAlignment="1">
      <alignment horizontal="center" vertical="center"/>
    </xf>
    <xf numFmtId="0" fontId="2" fillId="0" borderId="0" xfId="0" applyFont="1" applyAlignment="1">
      <alignment horizontal="left"/>
    </xf>
    <xf numFmtId="0" fontId="2" fillId="0" borderId="0" xfId="0" applyFont="1" applyAlignment="1">
      <alignment horizontal="center"/>
    </xf>
    <xf numFmtId="0" fontId="2" fillId="0" borderId="14" xfId="0" applyFont="1" applyBorder="1" applyAlignment="1">
      <alignment horizontal="center"/>
    </xf>
    <xf numFmtId="0" fontId="2" fillId="0" borderId="15" xfId="0" applyFont="1" applyBorder="1" applyAlignment="1">
      <alignment horizontal="center"/>
    </xf>
    <xf numFmtId="0" fontId="2" fillId="0" borderId="0" xfId="0" applyFont="1" applyBorder="1" applyAlignment="1">
      <alignment horizontal="center"/>
    </xf>
    <xf numFmtId="14" fontId="2" fillId="0" borderId="10" xfId="0" applyNumberFormat="1" applyFont="1" applyBorder="1" applyAlignment="1">
      <alignment horizontal="center" vertical="center"/>
    </xf>
    <xf numFmtId="0" fontId="2" fillId="0" borderId="0" xfId="0" applyFont="1" applyBorder="1" applyAlignment="1">
      <alignment/>
    </xf>
    <xf numFmtId="0" fontId="2" fillId="0" borderId="10" xfId="0" applyFont="1" applyBorder="1" applyAlignment="1">
      <alignment horizontal="center"/>
    </xf>
    <xf numFmtId="0" fontId="2" fillId="0" borderId="17" xfId="0" applyFont="1" applyBorder="1" applyAlignment="1">
      <alignment horizontal="center"/>
    </xf>
    <xf numFmtId="0" fontId="2" fillId="0" borderId="18" xfId="0" applyFont="1" applyBorder="1" applyAlignment="1">
      <alignment horizontal="center"/>
    </xf>
    <xf numFmtId="0" fontId="2" fillId="0" borderId="19" xfId="0" applyFont="1" applyBorder="1" applyAlignment="1">
      <alignment horizontal="center"/>
    </xf>
    <xf numFmtId="0" fontId="2" fillId="0" borderId="20" xfId="0" applyFont="1" applyBorder="1" applyAlignment="1">
      <alignment horizontal="center"/>
    </xf>
    <xf numFmtId="0" fontId="2" fillId="0" borderId="14" xfId="0" applyFont="1" applyBorder="1" applyAlignment="1">
      <alignment horizontal="center" vertical="center"/>
    </xf>
    <xf numFmtId="0" fontId="2" fillId="0" borderId="21" xfId="0" applyFont="1" applyBorder="1" applyAlignment="1">
      <alignment horizontal="center"/>
    </xf>
    <xf numFmtId="0" fontId="5" fillId="0" borderId="14" xfId="0" applyNumberFormat="1" applyFont="1" applyBorder="1" applyAlignment="1">
      <alignment horizontal="center" vertical="center"/>
    </xf>
    <xf numFmtId="0" fontId="4" fillId="0" borderId="14" xfId="0" applyFont="1" applyBorder="1" applyAlignment="1">
      <alignment/>
    </xf>
    <xf numFmtId="0" fontId="3" fillId="0" borderId="0" xfId="0" applyFont="1" applyAlignment="1">
      <alignment horizontal="right"/>
    </xf>
    <xf numFmtId="0" fontId="2" fillId="0" borderId="15" xfId="0" applyFont="1" applyBorder="1" applyAlignment="1" quotePrefix="1">
      <alignment horizontal="center"/>
    </xf>
    <xf numFmtId="0" fontId="7" fillId="0" borderId="0" xfId="0" applyFont="1" applyAlignment="1">
      <alignment/>
    </xf>
    <xf numFmtId="0" fontId="16" fillId="0" borderId="22" xfId="0" applyFont="1" applyBorder="1" applyAlignment="1">
      <alignment/>
    </xf>
    <xf numFmtId="0" fontId="7" fillId="0" borderId="23" xfId="0" applyFont="1" applyBorder="1" applyAlignment="1">
      <alignment/>
    </xf>
    <xf numFmtId="0" fontId="7" fillId="0" borderId="24" xfId="0" applyFont="1" applyBorder="1" applyAlignment="1">
      <alignment/>
    </xf>
    <xf numFmtId="0" fontId="17" fillId="0" borderId="25" xfId="0" applyFont="1" applyBorder="1" applyAlignment="1">
      <alignment/>
    </xf>
    <xf numFmtId="0" fontId="7" fillId="0" borderId="0" xfId="0" applyFont="1" applyBorder="1" applyAlignment="1">
      <alignment/>
    </xf>
    <xf numFmtId="0" fontId="7" fillId="0" borderId="26" xfId="0" applyFont="1" applyBorder="1" applyAlignment="1">
      <alignment/>
    </xf>
    <xf numFmtId="0" fontId="18" fillId="0" borderId="25" xfId="0" applyFont="1" applyBorder="1" applyAlignment="1">
      <alignment/>
    </xf>
    <xf numFmtId="0" fontId="7" fillId="0" borderId="27" xfId="0" applyFont="1" applyBorder="1" applyAlignment="1">
      <alignment/>
    </xf>
    <xf numFmtId="0" fontId="7" fillId="0" borderId="28" xfId="0" applyFont="1" applyBorder="1" applyAlignment="1">
      <alignment/>
    </xf>
    <xf numFmtId="0" fontId="7" fillId="0" borderId="29" xfId="0" applyFont="1" applyBorder="1" applyAlignment="1">
      <alignment/>
    </xf>
    <xf numFmtId="0" fontId="7" fillId="0" borderId="22" xfId="0" applyFont="1" applyBorder="1" applyAlignment="1">
      <alignment/>
    </xf>
    <xf numFmtId="0" fontId="7" fillId="0" borderId="25" xfId="0" applyFont="1" applyBorder="1" applyAlignment="1">
      <alignment/>
    </xf>
    <xf numFmtId="0" fontId="7" fillId="0" borderId="23" xfId="0" applyFont="1" applyBorder="1" applyAlignment="1">
      <alignment/>
    </xf>
    <xf numFmtId="0" fontId="7" fillId="0" borderId="23" xfId="0" applyFont="1" applyBorder="1" applyAlignment="1">
      <alignment horizontal="center" vertical="center"/>
    </xf>
    <xf numFmtId="0" fontId="7" fillId="0" borderId="24" xfId="0" applyFont="1" applyBorder="1" applyAlignment="1">
      <alignment/>
    </xf>
    <xf numFmtId="0" fontId="7" fillId="0" borderId="0" xfId="0" applyFont="1" applyAlignment="1">
      <alignment/>
    </xf>
    <xf numFmtId="0" fontId="7" fillId="0" borderId="30" xfId="0" applyFont="1" applyBorder="1" applyAlignment="1">
      <alignment/>
    </xf>
    <xf numFmtId="0" fontId="7" fillId="0" borderId="11" xfId="0" applyFont="1" applyBorder="1" applyAlignment="1">
      <alignment/>
    </xf>
    <xf numFmtId="0" fontId="2" fillId="0" borderId="10" xfId="0" applyFont="1" applyBorder="1" applyAlignment="1" quotePrefix="1">
      <alignment horizontal="center"/>
    </xf>
    <xf numFmtId="0" fontId="8" fillId="0" borderId="10" xfId="0" applyFont="1" applyBorder="1" applyAlignment="1">
      <alignment horizontal="center"/>
    </xf>
    <xf numFmtId="0" fontId="8" fillId="0" borderId="10" xfId="0" applyFont="1" applyBorder="1" applyAlignment="1" quotePrefix="1">
      <alignment horizontal="center"/>
    </xf>
    <xf numFmtId="0" fontId="7" fillId="0" borderId="26" xfId="0" applyFont="1" applyBorder="1" applyAlignment="1">
      <alignment/>
    </xf>
    <xf numFmtId="0" fontId="9" fillId="0" borderId="30" xfId="0" applyFont="1" applyBorder="1" applyAlignment="1">
      <alignment/>
    </xf>
    <xf numFmtId="0" fontId="10" fillId="0" borderId="11" xfId="0" applyFont="1" applyBorder="1" applyAlignment="1">
      <alignment/>
    </xf>
    <xf numFmtId="0" fontId="11" fillId="0" borderId="10" xfId="0" applyFont="1" applyBorder="1" applyAlignment="1">
      <alignment horizontal="center" vertical="center"/>
    </xf>
    <xf numFmtId="0" fontId="9" fillId="0" borderId="26" xfId="0" applyFont="1" applyBorder="1" applyAlignment="1">
      <alignment/>
    </xf>
    <xf numFmtId="0" fontId="9" fillId="0" borderId="0" xfId="0" applyFont="1" applyAlignment="1">
      <alignment/>
    </xf>
    <xf numFmtId="0" fontId="12" fillId="0" borderId="25" xfId="0" applyFont="1" applyBorder="1" applyAlignment="1">
      <alignment vertical="center"/>
    </xf>
    <xf numFmtId="0" fontId="7" fillId="34" borderId="16" xfId="0" applyFont="1" applyFill="1" applyBorder="1" applyAlignment="1">
      <alignment horizontal="center" vertical="center"/>
    </xf>
    <xf numFmtId="0" fontId="7" fillId="34" borderId="0" xfId="0" applyFont="1" applyFill="1" applyBorder="1" applyAlignment="1">
      <alignment horizontal="center" vertical="center"/>
    </xf>
    <xf numFmtId="0" fontId="7" fillId="0" borderId="25" xfId="0" applyFont="1" applyBorder="1" applyAlignment="1">
      <alignment/>
    </xf>
    <xf numFmtId="0" fontId="7" fillId="0" borderId="15" xfId="0" applyFont="1" applyBorder="1" applyAlignment="1">
      <alignment horizontal="left" vertical="center"/>
    </xf>
    <xf numFmtId="0" fontId="8" fillId="0" borderId="15" xfId="0" applyFont="1" applyBorder="1" applyAlignment="1">
      <alignment/>
    </xf>
    <xf numFmtId="0" fontId="8" fillId="0" borderId="0" xfId="0" applyFont="1" applyBorder="1" applyAlignment="1">
      <alignment/>
    </xf>
    <xf numFmtId="0" fontId="7" fillId="0" borderId="0" xfId="0" applyFont="1" applyBorder="1" applyAlignment="1">
      <alignment horizontal="left" vertical="center"/>
    </xf>
    <xf numFmtId="0" fontId="8" fillId="0" borderId="16" xfId="0" applyFont="1" applyBorder="1" applyAlignment="1">
      <alignment/>
    </xf>
    <xf numFmtId="0" fontId="8" fillId="0" borderId="15" xfId="0" applyFont="1" applyBorder="1" applyAlignment="1">
      <alignment vertical="center"/>
    </xf>
    <xf numFmtId="0" fontId="8" fillId="0" borderId="0" xfId="0" applyFont="1" applyBorder="1" applyAlignment="1">
      <alignment vertical="center"/>
    </xf>
    <xf numFmtId="0" fontId="12" fillId="0" borderId="31" xfId="0" applyFont="1" applyBorder="1" applyAlignment="1">
      <alignment vertical="center"/>
    </xf>
    <xf numFmtId="0" fontId="7" fillId="0" borderId="27" xfId="0" applyFont="1" applyBorder="1" applyAlignment="1">
      <alignment/>
    </xf>
    <xf numFmtId="0" fontId="7" fillId="0" borderId="28" xfId="0" applyFont="1" applyBorder="1" applyAlignment="1">
      <alignment/>
    </xf>
    <xf numFmtId="0" fontId="7" fillId="0" borderId="28" xfId="0" applyFont="1" applyBorder="1" applyAlignment="1">
      <alignment horizontal="center" vertical="center"/>
    </xf>
    <xf numFmtId="0" fontId="7" fillId="0" borderId="29" xfId="0" applyFont="1" applyBorder="1" applyAlignment="1">
      <alignment/>
    </xf>
    <xf numFmtId="0" fontId="7" fillId="0" borderId="0" xfId="0" applyFont="1" applyAlignment="1">
      <alignment horizontal="center" vertical="center"/>
    </xf>
    <xf numFmtId="0" fontId="4" fillId="0" borderId="10" xfId="0" applyFont="1" applyBorder="1" applyAlignment="1">
      <alignment/>
    </xf>
    <xf numFmtId="0" fontId="4" fillId="0" borderId="10" xfId="0" applyFont="1" applyBorder="1" applyAlignment="1">
      <alignment horizontal="center"/>
    </xf>
    <xf numFmtId="0" fontId="4" fillId="0" borderId="32" xfId="0" applyFont="1" applyBorder="1" applyAlignment="1">
      <alignment/>
    </xf>
    <xf numFmtId="0" fontId="2" fillId="0" borderId="10" xfId="0" applyFont="1" applyBorder="1" applyAlignment="1">
      <alignment/>
    </xf>
    <xf numFmtId="0" fontId="4" fillId="33" borderId="10" xfId="0" applyFont="1" applyFill="1" applyBorder="1" applyAlignment="1">
      <alignment horizontal="center"/>
    </xf>
    <xf numFmtId="0" fontId="4" fillId="33" borderId="10" xfId="0" applyFont="1" applyFill="1" applyBorder="1" applyAlignment="1">
      <alignment/>
    </xf>
    <xf numFmtId="0" fontId="2" fillId="0" borderId="12" xfId="0" applyFont="1" applyBorder="1" applyAlignment="1">
      <alignment/>
    </xf>
    <xf numFmtId="0" fontId="2" fillId="0" borderId="13" xfId="0" applyFont="1" applyBorder="1" applyAlignment="1">
      <alignment/>
    </xf>
    <xf numFmtId="0" fontId="3" fillId="0" borderId="12" xfId="0" applyFont="1" applyBorder="1" applyAlignment="1">
      <alignment horizontal="right"/>
    </xf>
    <xf numFmtId="0" fontId="2" fillId="0" borderId="33" xfId="0" applyFont="1" applyBorder="1" applyAlignment="1">
      <alignment horizontal="center"/>
    </xf>
    <xf numFmtId="0" fontId="2" fillId="0" borderId="33" xfId="0" applyFont="1" applyBorder="1" applyAlignment="1">
      <alignment/>
    </xf>
    <xf numFmtId="0" fontId="2" fillId="0" borderId="10" xfId="0" applyFont="1" applyBorder="1" applyAlignment="1">
      <alignment horizontal="left"/>
    </xf>
    <xf numFmtId="0" fontId="13" fillId="0" borderId="0" xfId="58" applyBorder="1">
      <alignment/>
      <protection/>
    </xf>
    <xf numFmtId="0" fontId="13" fillId="0" borderId="0" xfId="58" applyBorder="1" applyAlignment="1">
      <alignment horizontal="center"/>
      <protection/>
    </xf>
    <xf numFmtId="0" fontId="13" fillId="0" borderId="0" xfId="58">
      <alignment/>
      <protection/>
    </xf>
    <xf numFmtId="0" fontId="14" fillId="35" borderId="17" xfId="58" applyFont="1" applyFill="1" applyBorder="1" applyAlignment="1">
      <alignment vertical="center"/>
      <protection/>
    </xf>
    <xf numFmtId="0" fontId="14" fillId="35" borderId="15" xfId="58" applyFont="1" applyFill="1" applyBorder="1" applyAlignment="1">
      <alignment vertical="center"/>
      <protection/>
    </xf>
    <xf numFmtId="0" fontId="13" fillId="0" borderId="15" xfId="58" applyFont="1" applyBorder="1">
      <alignment/>
      <protection/>
    </xf>
    <xf numFmtId="0" fontId="13" fillId="0" borderId="15" xfId="58" applyFont="1" applyBorder="1" applyAlignment="1">
      <alignment horizontal="right"/>
      <protection/>
    </xf>
    <xf numFmtId="0" fontId="13" fillId="0" borderId="10" xfId="58" applyFont="1" applyBorder="1" applyAlignment="1" quotePrefix="1">
      <alignment horizontal="center"/>
      <protection/>
    </xf>
    <xf numFmtId="0" fontId="15" fillId="0" borderId="19" xfId="58" applyFont="1" applyBorder="1">
      <alignment/>
      <protection/>
    </xf>
    <xf numFmtId="0" fontId="13" fillId="0" borderId="15" xfId="58" applyFill="1" applyBorder="1" applyAlignment="1">
      <alignment horizontal="center"/>
      <protection/>
    </xf>
    <xf numFmtId="0" fontId="13" fillId="0" borderId="0" xfId="58" applyFill="1" applyBorder="1" applyAlignment="1">
      <alignment horizontal="center"/>
      <protection/>
    </xf>
    <xf numFmtId="0" fontId="13" fillId="36" borderId="0" xfId="58" applyFill="1" applyBorder="1" applyAlignment="1">
      <alignment horizontal="center"/>
      <protection/>
    </xf>
    <xf numFmtId="0" fontId="13" fillId="34" borderId="0" xfId="58" applyFill="1" applyBorder="1" applyAlignment="1">
      <alignment horizontal="center"/>
      <protection/>
    </xf>
    <xf numFmtId="0" fontId="13" fillId="37" borderId="0" xfId="58" applyFill="1" applyBorder="1" applyAlignment="1">
      <alignment horizontal="center"/>
      <protection/>
    </xf>
    <xf numFmtId="0" fontId="13" fillId="0" borderId="19" xfId="58" applyFont="1" applyBorder="1">
      <alignment/>
      <protection/>
    </xf>
    <xf numFmtId="0" fontId="13" fillId="0" borderId="0" xfId="58" applyFont="1" applyBorder="1">
      <alignment/>
      <protection/>
    </xf>
    <xf numFmtId="0" fontId="13" fillId="0" borderId="10" xfId="58" applyFont="1" applyBorder="1" applyAlignment="1">
      <alignment horizontal="center"/>
      <protection/>
    </xf>
    <xf numFmtId="0" fontId="13" fillId="0" borderId="0" xfId="58" applyFont="1">
      <alignment/>
      <protection/>
    </xf>
    <xf numFmtId="0" fontId="13" fillId="0" borderId="0" xfId="58" applyFont="1" applyBorder="1" applyAlignment="1">
      <alignment horizontal="center"/>
      <protection/>
    </xf>
    <xf numFmtId="0" fontId="15" fillId="0" borderId="17" xfId="58" applyFont="1" applyBorder="1">
      <alignment/>
      <protection/>
    </xf>
    <xf numFmtId="0" fontId="13" fillId="0" borderId="15" xfId="58" applyFont="1" applyBorder="1" applyAlignment="1">
      <alignment horizontal="center"/>
      <protection/>
    </xf>
    <xf numFmtId="0" fontId="13" fillId="0" borderId="10" xfId="58" applyFont="1" applyFill="1" applyBorder="1" applyAlignment="1">
      <alignment horizontal="center"/>
      <protection/>
    </xf>
    <xf numFmtId="0" fontId="13" fillId="0" borderId="20" xfId="58" applyFont="1" applyBorder="1">
      <alignment/>
      <protection/>
    </xf>
    <xf numFmtId="0" fontId="13" fillId="0" borderId="0" xfId="58" applyAlignment="1">
      <alignment horizontal="center"/>
      <protection/>
    </xf>
    <xf numFmtId="4" fontId="2" fillId="0" borderId="0" xfId="0" applyNumberFormat="1" applyFont="1" applyAlignment="1">
      <alignment/>
    </xf>
    <xf numFmtId="4" fontId="2" fillId="0" borderId="0" xfId="0" applyNumberFormat="1" applyFont="1" applyAlignment="1">
      <alignment/>
    </xf>
    <xf numFmtId="0" fontId="2" fillId="38" borderId="17" xfId="0" applyFont="1" applyFill="1" applyBorder="1" applyAlignment="1">
      <alignment/>
    </xf>
    <xf numFmtId="9" fontId="2" fillId="38" borderId="18" xfId="0" applyNumberFormat="1" applyFont="1" applyFill="1" applyBorder="1" applyAlignment="1">
      <alignment/>
    </xf>
    <xf numFmtId="0" fontId="2" fillId="38" borderId="19" xfId="0" applyFont="1" applyFill="1" applyBorder="1" applyAlignment="1">
      <alignment/>
    </xf>
    <xf numFmtId="9" fontId="2" fillId="38" borderId="16" xfId="61" applyFont="1" applyFill="1" applyBorder="1" applyAlignment="1">
      <alignment/>
    </xf>
    <xf numFmtId="0" fontId="2" fillId="38" borderId="16" xfId="0" applyFont="1" applyFill="1" applyBorder="1" applyAlignment="1">
      <alignment/>
    </xf>
    <xf numFmtId="9" fontId="2" fillId="38" borderId="16" xfId="0" applyNumberFormat="1" applyFont="1" applyFill="1" applyBorder="1" applyAlignment="1">
      <alignment/>
    </xf>
    <xf numFmtId="0" fontId="2" fillId="38" borderId="20" xfId="0" applyFont="1" applyFill="1" applyBorder="1" applyAlignment="1">
      <alignment/>
    </xf>
    <xf numFmtId="4" fontId="2" fillId="38" borderId="21" xfId="0" applyNumberFormat="1" applyFont="1" applyFill="1" applyBorder="1" applyAlignment="1">
      <alignment/>
    </xf>
    <xf numFmtId="0" fontId="2" fillId="0" borderId="0" xfId="0" applyFont="1" applyAlignment="1" quotePrefix="1">
      <alignment/>
    </xf>
    <xf numFmtId="4" fontId="2" fillId="0" borderId="0" xfId="0" applyNumberFormat="1" applyFont="1" applyAlignment="1">
      <alignment horizontal="center"/>
    </xf>
    <xf numFmtId="4" fontId="2" fillId="0" borderId="10" xfId="0" applyNumberFormat="1" applyFont="1" applyBorder="1" applyAlignment="1">
      <alignment horizontal="center"/>
    </xf>
    <xf numFmtId="4" fontId="2" fillId="0" borderId="15" xfId="0" applyNumberFormat="1" applyFont="1" applyBorder="1" applyAlignment="1">
      <alignment horizontal="center"/>
    </xf>
    <xf numFmtId="4" fontId="2" fillId="0" borderId="0" xfId="0" applyNumberFormat="1" applyFont="1" applyBorder="1" applyAlignment="1">
      <alignment horizontal="center"/>
    </xf>
    <xf numFmtId="4" fontId="2" fillId="0" borderId="14" xfId="0" applyNumberFormat="1" applyFont="1" applyBorder="1" applyAlignment="1">
      <alignment horizontal="center"/>
    </xf>
    <xf numFmtId="0" fontId="6" fillId="0" borderId="22" xfId="0" applyFont="1" applyBorder="1" applyAlignment="1">
      <alignment vertical="center"/>
    </xf>
    <xf numFmtId="4" fontId="2" fillId="0" borderId="0" xfId="0" applyNumberFormat="1" applyFont="1" applyAlignment="1">
      <alignment horizontal="center"/>
    </xf>
    <xf numFmtId="4" fontId="2" fillId="0" borderId="19" xfId="0" applyNumberFormat="1" applyFont="1" applyBorder="1" applyAlignment="1">
      <alignment horizontal="center"/>
    </xf>
    <xf numFmtId="4" fontId="2" fillId="0" borderId="0" xfId="0" applyNumberFormat="1" applyFont="1" applyBorder="1" applyAlignment="1">
      <alignment horizontal="center"/>
    </xf>
    <xf numFmtId="0" fontId="2" fillId="0" borderId="16" xfId="0" applyFont="1" applyBorder="1" applyAlignment="1">
      <alignment horizontal="center"/>
    </xf>
    <xf numFmtId="4" fontId="2" fillId="0" borderId="20" xfId="0" applyNumberFormat="1" applyFont="1" applyBorder="1" applyAlignment="1">
      <alignment horizontal="center"/>
    </xf>
    <xf numFmtId="4" fontId="2" fillId="0" borderId="14" xfId="0" applyNumberFormat="1" applyFont="1" applyBorder="1" applyAlignment="1">
      <alignment horizontal="center"/>
    </xf>
    <xf numFmtId="0" fontId="2" fillId="0" borderId="21" xfId="0" applyFont="1" applyBorder="1" applyAlignment="1">
      <alignment horizontal="center"/>
    </xf>
    <xf numFmtId="4" fontId="2" fillId="0" borderId="32" xfId="0" applyNumberFormat="1" applyFont="1" applyBorder="1" applyAlignment="1">
      <alignment horizontal="center"/>
    </xf>
    <xf numFmtId="4" fontId="2" fillId="0" borderId="11" xfId="0" applyNumberFormat="1" applyFont="1" applyBorder="1" applyAlignment="1">
      <alignment horizontal="center"/>
    </xf>
    <xf numFmtId="0" fontId="2" fillId="0" borderId="34" xfId="0" applyFont="1" applyBorder="1" applyAlignment="1">
      <alignment horizontal="center"/>
    </xf>
    <xf numFmtId="0" fontId="4" fillId="0" borderId="32" xfId="0" applyFont="1" applyBorder="1" applyAlignment="1">
      <alignment/>
    </xf>
    <xf numFmtId="14" fontId="5" fillId="0" borderId="32" xfId="0" applyNumberFormat="1" applyFont="1" applyBorder="1" applyAlignment="1">
      <alignment horizontal="center" vertical="center"/>
    </xf>
    <xf numFmtId="0" fontId="2" fillId="0" borderId="11" xfId="0" applyFont="1" applyBorder="1" applyAlignment="1">
      <alignment horizontal="center"/>
    </xf>
    <xf numFmtId="4" fontId="2" fillId="0" borderId="11" xfId="0" applyNumberFormat="1" applyFont="1" applyBorder="1" applyAlignment="1">
      <alignment horizontal="center"/>
    </xf>
    <xf numFmtId="14" fontId="2" fillId="0" borderId="34" xfId="0" applyNumberFormat="1" applyFont="1" applyBorder="1" applyAlignment="1">
      <alignment horizontal="center"/>
    </xf>
    <xf numFmtId="0" fontId="7" fillId="37" borderId="16" xfId="0" applyFont="1" applyFill="1" applyBorder="1" applyAlignment="1">
      <alignment horizontal="center" vertical="center"/>
    </xf>
    <xf numFmtId="0" fontId="7" fillId="34" borderId="20" xfId="0" applyFont="1" applyFill="1" applyBorder="1" applyAlignment="1">
      <alignment horizontal="center" vertical="center"/>
    </xf>
    <xf numFmtId="0" fontId="7" fillId="34" borderId="21" xfId="0" applyFont="1" applyFill="1" applyBorder="1" applyAlignment="1">
      <alignment horizontal="center" vertical="center"/>
    </xf>
    <xf numFmtId="0" fontId="7" fillId="34" borderId="14" xfId="0" applyFont="1" applyFill="1" applyBorder="1" applyAlignment="1">
      <alignment horizontal="center" vertical="center"/>
    </xf>
    <xf numFmtId="0" fontId="2" fillId="0" borderId="19" xfId="0" applyFont="1" applyBorder="1" applyAlignment="1">
      <alignment horizontal="left"/>
    </xf>
    <xf numFmtId="0" fontId="2" fillId="0" borderId="0" xfId="0" applyFont="1" applyBorder="1" applyAlignment="1">
      <alignment horizontal="left"/>
    </xf>
    <xf numFmtId="0" fontId="7" fillId="37" borderId="21" xfId="0" applyFont="1" applyFill="1" applyBorder="1" applyAlignment="1">
      <alignment horizontal="center" vertical="center"/>
    </xf>
    <xf numFmtId="0" fontId="7" fillId="37" borderId="0" xfId="0" applyFont="1" applyFill="1" applyBorder="1" applyAlignment="1">
      <alignment horizontal="center" vertical="center"/>
    </xf>
    <xf numFmtId="0" fontId="7" fillId="37" borderId="20" xfId="0" applyFont="1" applyFill="1" applyBorder="1" applyAlignment="1">
      <alignment horizontal="center" vertical="center"/>
    </xf>
    <xf numFmtId="0" fontId="7" fillId="37" borderId="14" xfId="0" applyFont="1" applyFill="1" applyBorder="1" applyAlignment="1">
      <alignment horizontal="center" vertical="center"/>
    </xf>
    <xf numFmtId="0" fontId="11" fillId="0" borderId="10" xfId="0" applyFont="1" applyFill="1" applyBorder="1" applyAlignment="1">
      <alignment horizontal="center" vertical="center"/>
    </xf>
    <xf numFmtId="0" fontId="7" fillId="34" borderId="18" xfId="0" applyFont="1" applyFill="1" applyBorder="1" applyAlignment="1">
      <alignment horizontal="center" vertical="center"/>
    </xf>
    <xf numFmtId="0" fontId="7" fillId="37" borderId="18" xfId="0" applyFont="1" applyFill="1" applyBorder="1" applyAlignment="1">
      <alignment horizontal="center" vertical="center"/>
    </xf>
    <xf numFmtId="0" fontId="11" fillId="37" borderId="0" xfId="0" applyFont="1" applyFill="1" applyBorder="1" applyAlignment="1">
      <alignment horizontal="center" vertical="center"/>
    </xf>
    <xf numFmtId="0" fontId="13" fillId="0" borderId="14" xfId="58" applyBorder="1">
      <alignment/>
      <protection/>
    </xf>
    <xf numFmtId="0" fontId="13" fillId="0" borderId="14" xfId="58" applyBorder="1" applyAlignment="1">
      <alignment horizontal="center"/>
      <protection/>
    </xf>
    <xf numFmtId="0" fontId="2" fillId="0" borderId="0" xfId="0" applyFont="1" applyBorder="1" applyAlignment="1" quotePrefix="1">
      <alignment horizontal="center"/>
    </xf>
    <xf numFmtId="0" fontId="4" fillId="33" borderId="33" xfId="0" applyFont="1" applyFill="1" applyBorder="1" applyAlignment="1">
      <alignment horizontal="center"/>
    </xf>
    <xf numFmtId="0" fontId="2" fillId="0" borderId="15" xfId="0" applyFont="1" applyBorder="1" applyAlignment="1">
      <alignment/>
    </xf>
    <xf numFmtId="4" fontId="2" fillId="0" borderId="10" xfId="0" applyNumberFormat="1" applyFont="1" applyBorder="1" applyAlignment="1">
      <alignment horizontal="center" vertical="center" wrapText="1"/>
    </xf>
    <xf numFmtId="4" fontId="2" fillId="0" borderId="12" xfId="0" applyNumberFormat="1" applyFont="1" applyBorder="1" applyAlignment="1">
      <alignment vertical="center"/>
    </xf>
    <xf numFmtId="4" fontId="2" fillId="0" borderId="13" xfId="0" applyNumberFormat="1" applyFont="1" applyBorder="1" applyAlignment="1">
      <alignment vertical="center"/>
    </xf>
    <xf numFmtId="4" fontId="7" fillId="0" borderId="12" xfId="0" applyNumberFormat="1" applyFont="1" applyBorder="1" applyAlignment="1">
      <alignment vertical="center"/>
    </xf>
    <xf numFmtId="0" fontId="2" fillId="0" borderId="14" xfId="0" applyFont="1" applyBorder="1" applyAlignment="1" quotePrefix="1">
      <alignment horizontal="center"/>
    </xf>
    <xf numFmtId="0" fontId="7" fillId="0" borderId="10" xfId="0" applyFont="1" applyBorder="1" applyAlignment="1">
      <alignment horizontal="center" vertical="center"/>
    </xf>
    <xf numFmtId="0" fontId="13" fillId="0" borderId="34" xfId="58" applyBorder="1" applyAlignment="1">
      <alignment horizontal="center"/>
      <protection/>
    </xf>
    <xf numFmtId="0" fontId="7" fillId="0" borderId="11" xfId="0" applyFont="1" applyBorder="1" applyAlignment="1">
      <alignment vertical="center"/>
    </xf>
    <xf numFmtId="14" fontId="7" fillId="0" borderId="11" xfId="0" applyNumberFormat="1" applyFont="1" applyBorder="1" applyAlignment="1">
      <alignment vertical="center"/>
    </xf>
    <xf numFmtId="14" fontId="7" fillId="0" borderId="35" xfId="0" applyNumberFormat="1" applyFont="1" applyBorder="1" applyAlignment="1">
      <alignment horizontal="center" vertical="center"/>
    </xf>
    <xf numFmtId="0" fontId="13" fillId="0" borderId="14" xfId="58" applyFont="1" applyBorder="1">
      <alignment/>
      <protection/>
    </xf>
    <xf numFmtId="0" fontId="13" fillId="0" borderId="21" xfId="58" applyBorder="1" applyAlignment="1">
      <alignment horizontal="right"/>
      <protection/>
    </xf>
    <xf numFmtId="0" fontId="13" fillId="39" borderId="10" xfId="58" applyFill="1" applyBorder="1" applyAlignment="1">
      <alignment horizontal="center"/>
      <protection/>
    </xf>
    <xf numFmtId="0" fontId="13" fillId="0" borderId="10" xfId="58" applyBorder="1" applyAlignment="1">
      <alignment horizontal="center"/>
      <protection/>
    </xf>
    <xf numFmtId="0" fontId="13" fillId="0" borderId="19" xfId="58" applyBorder="1">
      <alignment/>
      <protection/>
    </xf>
    <xf numFmtId="0" fontId="13" fillId="0" borderId="20" xfId="58" applyBorder="1">
      <alignment/>
      <protection/>
    </xf>
    <xf numFmtId="0" fontId="20" fillId="0" borderId="17" xfId="0" applyFont="1" applyBorder="1" applyAlignment="1">
      <alignment/>
    </xf>
    <xf numFmtId="0" fontId="2" fillId="0" borderId="0" xfId="0" applyFont="1" applyBorder="1" applyAlignment="1" quotePrefix="1">
      <alignment horizontal="center" vertical="center"/>
    </xf>
    <xf numFmtId="0" fontId="7" fillId="0" borderId="14" xfId="0" applyFont="1" applyBorder="1" applyAlignment="1">
      <alignment horizontal="left" vertical="center"/>
    </xf>
    <xf numFmtId="0" fontId="8" fillId="0" borderId="32" xfId="0" applyFont="1" applyBorder="1" applyAlignment="1">
      <alignment vertical="center"/>
    </xf>
    <xf numFmtId="0" fontId="8" fillId="0" borderId="11" xfId="0" applyFont="1" applyBorder="1" applyAlignment="1">
      <alignment/>
    </xf>
    <xf numFmtId="0" fontId="6" fillId="0" borderId="34" xfId="0" applyFont="1" applyBorder="1" applyAlignment="1">
      <alignment horizontal="right"/>
    </xf>
    <xf numFmtId="0" fontId="7" fillId="0" borderId="11" xfId="0" applyFont="1" applyBorder="1" applyAlignment="1">
      <alignment horizontal="left" vertical="center"/>
    </xf>
    <xf numFmtId="0" fontId="8" fillId="0" borderId="11" xfId="0" applyFont="1" applyBorder="1" applyAlignment="1">
      <alignment vertical="center"/>
    </xf>
    <xf numFmtId="0" fontId="13" fillId="36" borderId="18" xfId="58" applyFill="1" applyBorder="1" applyAlignment="1">
      <alignment horizontal="center"/>
      <protection/>
    </xf>
    <xf numFmtId="0" fontId="13" fillId="36" borderId="12" xfId="58" applyFill="1" applyBorder="1" applyAlignment="1">
      <alignment horizontal="center"/>
      <protection/>
    </xf>
    <xf numFmtId="0" fontId="13" fillId="36" borderId="13" xfId="58" applyFill="1" applyBorder="1" applyAlignment="1">
      <alignment horizontal="center"/>
      <protection/>
    </xf>
    <xf numFmtId="0" fontId="13" fillId="34" borderId="18" xfId="58" applyFill="1" applyBorder="1" applyAlignment="1">
      <alignment horizontal="center"/>
      <protection/>
    </xf>
    <xf numFmtId="0" fontId="13" fillId="34" borderId="16" xfId="58" applyFill="1" applyBorder="1" applyAlignment="1">
      <alignment horizontal="center"/>
      <protection/>
    </xf>
    <xf numFmtId="0" fontId="13" fillId="34" borderId="20" xfId="58" applyFill="1" applyBorder="1" applyAlignment="1">
      <alignment horizontal="center"/>
      <protection/>
    </xf>
    <xf numFmtId="0" fontId="13" fillId="34" borderId="21" xfId="58" applyFill="1" applyBorder="1" applyAlignment="1">
      <alignment horizontal="center"/>
      <protection/>
    </xf>
    <xf numFmtId="0" fontId="7" fillId="37" borderId="19" xfId="0" applyFont="1" applyFill="1" applyBorder="1" applyAlignment="1">
      <alignment horizontal="center" vertical="center"/>
    </xf>
    <xf numFmtId="0" fontId="7" fillId="37" borderId="15" xfId="0" applyFont="1" applyFill="1" applyBorder="1" applyAlignment="1">
      <alignment horizontal="center" vertical="center"/>
    </xf>
    <xf numFmtId="0" fontId="7" fillId="37" borderId="12" xfId="0" applyFont="1" applyFill="1" applyBorder="1" applyAlignment="1">
      <alignment horizontal="center" vertical="center"/>
    </xf>
    <xf numFmtId="0" fontId="13" fillId="36" borderId="11" xfId="58" applyFill="1" applyBorder="1" applyAlignment="1">
      <alignment horizontal="center"/>
      <protection/>
    </xf>
    <xf numFmtId="0" fontId="7" fillId="37" borderId="32" xfId="0" applyFont="1" applyFill="1" applyBorder="1" applyAlignment="1">
      <alignment horizontal="center" vertical="center"/>
    </xf>
    <xf numFmtId="0" fontId="13" fillId="36" borderId="16" xfId="58" applyFill="1" applyBorder="1" applyAlignment="1">
      <alignment horizontal="center"/>
      <protection/>
    </xf>
    <xf numFmtId="0" fontId="13" fillId="36" borderId="33" xfId="58" applyFill="1" applyBorder="1" applyAlignment="1">
      <alignment horizontal="center"/>
      <protection/>
    </xf>
    <xf numFmtId="0" fontId="13" fillId="36" borderId="32" xfId="58" applyFill="1" applyBorder="1" applyAlignment="1">
      <alignment horizontal="center"/>
      <protection/>
    </xf>
    <xf numFmtId="0" fontId="13" fillId="36" borderId="15" xfId="58" applyFill="1" applyBorder="1" applyAlignment="1">
      <alignment horizontal="center"/>
      <protection/>
    </xf>
    <xf numFmtId="0" fontId="7" fillId="34" borderId="12" xfId="0" applyFont="1" applyFill="1" applyBorder="1" applyAlignment="1">
      <alignment horizontal="center" vertical="center"/>
    </xf>
    <xf numFmtId="0" fontId="21" fillId="0" borderId="10" xfId="0" applyFont="1" applyBorder="1" applyAlignment="1">
      <alignment horizontal="center" vertical="center"/>
    </xf>
    <xf numFmtId="0" fontId="21" fillId="0" borderId="10" xfId="0" applyFont="1" applyFill="1" applyBorder="1" applyAlignment="1">
      <alignment horizontal="center" vertical="center"/>
    </xf>
    <xf numFmtId="0" fontId="7" fillId="34" borderId="33" xfId="0" applyFont="1" applyFill="1" applyBorder="1" applyAlignment="1">
      <alignment horizontal="center" vertical="center"/>
    </xf>
    <xf numFmtId="0" fontId="8" fillId="0" borderId="18" xfId="0" applyFont="1" applyBorder="1" applyAlignment="1">
      <alignment/>
    </xf>
    <xf numFmtId="0" fontId="6" fillId="0" borderId="10" xfId="0" applyFont="1" applyBorder="1" applyAlignment="1">
      <alignment horizontal="center"/>
    </xf>
    <xf numFmtId="0" fontId="13" fillId="36" borderId="20" xfId="58" applyFill="1" applyBorder="1" applyAlignment="1">
      <alignment horizontal="center"/>
      <protection/>
    </xf>
    <xf numFmtId="0" fontId="13" fillId="36" borderId="14" xfId="58" applyFill="1" applyBorder="1" applyAlignment="1">
      <alignment horizontal="center"/>
      <protection/>
    </xf>
    <xf numFmtId="0" fontId="13" fillId="36" borderId="21" xfId="58" applyFill="1" applyBorder="1" applyAlignment="1">
      <alignment horizontal="center"/>
      <protection/>
    </xf>
    <xf numFmtId="0" fontId="22" fillId="40" borderId="0" xfId="57" applyFont="1" applyFill="1" applyAlignment="1" applyProtection="1">
      <alignment horizontal="left" vertical="center"/>
      <protection/>
    </xf>
    <xf numFmtId="0" fontId="13" fillId="40" borderId="0" xfId="57" applyFill="1" applyAlignment="1">
      <alignment horizontal="left" vertical="center" wrapText="1"/>
      <protection/>
    </xf>
    <xf numFmtId="0" fontId="13" fillId="40" borderId="0" xfId="57" applyFill="1" applyAlignment="1">
      <alignment horizontal="left" vertical="center"/>
      <protection/>
    </xf>
    <xf numFmtId="0" fontId="5" fillId="40" borderId="0" xfId="57" applyFont="1" applyFill="1" applyAlignment="1" applyProtection="1">
      <alignment horizontal="centerContinuous" vertical="center"/>
      <protection/>
    </xf>
    <xf numFmtId="0" fontId="23" fillId="40" borderId="0" xfId="57" applyFont="1" applyFill="1" applyAlignment="1">
      <alignment horizontal="centerContinuous" vertical="center" wrapText="1"/>
      <protection/>
    </xf>
    <xf numFmtId="0" fontId="13" fillId="40" borderId="0" xfId="57" applyFill="1">
      <alignment/>
      <protection/>
    </xf>
    <xf numFmtId="0" fontId="13" fillId="38" borderId="0" xfId="57" applyFill="1">
      <alignment/>
      <protection/>
    </xf>
    <xf numFmtId="0" fontId="13" fillId="0" borderId="0" xfId="57">
      <alignment/>
      <protection/>
    </xf>
    <xf numFmtId="0" fontId="22" fillId="40" borderId="0" xfId="57" applyFont="1" applyFill="1" applyAlignment="1" applyProtection="1">
      <alignment horizontal="centerContinuous" vertical="center"/>
      <protection/>
    </xf>
    <xf numFmtId="0" fontId="13" fillId="40" borderId="0" xfId="57" applyFill="1" applyAlignment="1">
      <alignment horizontal="centerContinuous" vertical="center" wrapText="1"/>
      <protection/>
    </xf>
    <xf numFmtId="0" fontId="13" fillId="40" borderId="0" xfId="57" applyFill="1" applyAlignment="1">
      <alignment horizontal="centerContinuous" vertical="center"/>
      <protection/>
    </xf>
    <xf numFmtId="0" fontId="5" fillId="41" borderId="0" xfId="57" applyFont="1" applyFill="1">
      <alignment/>
      <protection/>
    </xf>
    <xf numFmtId="0" fontId="5" fillId="41" borderId="0" xfId="57" applyFont="1" applyFill="1" applyAlignment="1">
      <alignment horizontal="centerContinuous"/>
      <protection/>
    </xf>
    <xf numFmtId="0" fontId="5" fillId="41" borderId="0" xfId="57" applyFont="1" applyFill="1" applyAlignment="1">
      <alignment horizontal="center"/>
      <protection/>
    </xf>
    <xf numFmtId="0" fontId="13" fillId="41" borderId="0" xfId="57" applyFill="1">
      <alignment/>
      <protection/>
    </xf>
    <xf numFmtId="0" fontId="24" fillId="42" borderId="0" xfId="57" applyFont="1" applyFill="1" applyAlignment="1">
      <alignment horizontal="centerContinuous" vertical="center" wrapText="1"/>
      <protection/>
    </xf>
    <xf numFmtId="0" fontId="25" fillId="42" borderId="0" xfId="57" applyFont="1" applyFill="1" applyAlignment="1">
      <alignment horizontal="centerContinuous" vertical="center" wrapText="1"/>
      <protection/>
    </xf>
    <xf numFmtId="0" fontId="26" fillId="41" borderId="0" xfId="57" applyFont="1" applyFill="1" applyBorder="1" applyAlignment="1">
      <alignment horizontal="center"/>
      <protection/>
    </xf>
    <xf numFmtId="0" fontId="15" fillId="41" borderId="0" xfId="57" applyFont="1" applyFill="1" applyAlignment="1">
      <alignment horizontal="left"/>
      <protection/>
    </xf>
    <xf numFmtId="0" fontId="27" fillId="41" borderId="0" xfId="57" applyFont="1" applyFill="1" applyAlignment="1">
      <alignment horizontal="left"/>
      <protection/>
    </xf>
    <xf numFmtId="0" fontId="5" fillId="41" borderId="0" xfId="57" applyFont="1" applyFill="1" applyAlignment="1">
      <alignment horizontal="left" wrapText="1"/>
      <protection/>
    </xf>
    <xf numFmtId="0" fontId="13" fillId="41" borderId="0" xfId="57" applyFill="1" applyAlignment="1">
      <alignment wrapText="1"/>
      <protection/>
    </xf>
    <xf numFmtId="0" fontId="27" fillId="41" borderId="0" xfId="57" applyFont="1" applyFill="1" applyAlignment="1">
      <alignment/>
      <protection/>
    </xf>
    <xf numFmtId="0" fontId="5" fillId="41" borderId="0" xfId="57" applyFont="1" applyFill="1" applyAlignment="1">
      <alignment horizontal="left"/>
      <protection/>
    </xf>
    <xf numFmtId="0" fontId="26" fillId="41" borderId="0" xfId="57" applyFont="1" applyFill="1" applyAlignment="1">
      <alignment horizontal="centerContinuous"/>
      <protection/>
    </xf>
    <xf numFmtId="0" fontId="26" fillId="41" borderId="0" xfId="57" applyFont="1" applyFill="1" applyAlignment="1">
      <alignment horizontal="center"/>
      <protection/>
    </xf>
    <xf numFmtId="0" fontId="13" fillId="41" borderId="0" xfId="57" applyFill="1" applyAlignment="1">
      <alignment horizontal="left" wrapText="1"/>
      <protection/>
    </xf>
    <xf numFmtId="0" fontId="15" fillId="0" borderId="0" xfId="57" applyFont="1">
      <alignment/>
      <protection/>
    </xf>
    <xf numFmtId="0" fontId="13" fillId="0" borderId="0" xfId="57" applyFont="1">
      <alignment/>
      <protection/>
    </xf>
    <xf numFmtId="0" fontId="7" fillId="0" borderId="32" xfId="0" applyFont="1" applyBorder="1" applyAlignment="1">
      <alignment vertical="center"/>
    </xf>
    <xf numFmtId="14" fontId="13" fillId="0" borderId="0" xfId="57" applyNumberFormat="1" applyAlignment="1">
      <alignment horizontal="left"/>
      <protection/>
    </xf>
    <xf numFmtId="0" fontId="13" fillId="0" borderId="0" xfId="57" applyAlignment="1">
      <alignment horizontal="left"/>
      <protection/>
    </xf>
    <xf numFmtId="0" fontId="27" fillId="41" borderId="0" xfId="57" applyFont="1" applyFill="1" applyAlignment="1">
      <alignment horizontal="left" wrapText="1"/>
      <protection/>
    </xf>
    <xf numFmtId="0" fontId="0" fillId="0" borderId="0" xfId="0" applyAlignment="1">
      <alignment horizontal="left" wrapText="1"/>
    </xf>
    <xf numFmtId="0" fontId="0" fillId="0" borderId="0" xfId="0" applyAlignment="1">
      <alignment wrapText="1"/>
    </xf>
    <xf numFmtId="0" fontId="14" fillId="35" borderId="11" xfId="58" applyFont="1" applyFill="1" applyBorder="1" applyAlignment="1">
      <alignment horizontal="center" vertical="center"/>
      <protection/>
    </xf>
    <xf numFmtId="0" fontId="3" fillId="0" borderId="0" xfId="0" applyFont="1" applyAlignment="1">
      <alignment horizontal="right"/>
    </xf>
    <xf numFmtId="0" fontId="13" fillId="0" borderId="10" xfId="58" applyBorder="1" applyAlignment="1" quotePrefix="1">
      <alignment horizontal="center"/>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BM9xEn_Cortec_0k" xfId="57"/>
    <cellStyle name="Normal_P241 cortec"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400050</xdr:colOff>
      <xdr:row>2</xdr:row>
      <xdr:rowOff>57150</xdr:rowOff>
    </xdr:from>
    <xdr:to>
      <xdr:col>7</xdr:col>
      <xdr:colOff>762000</xdr:colOff>
      <xdr:row>11</xdr:row>
      <xdr:rowOff>190500</xdr:rowOff>
    </xdr:to>
    <xdr:sp>
      <xdr:nvSpPr>
        <xdr:cNvPr id="1" name="CaixaDeTexto 1"/>
        <xdr:cNvSpPr txBox="1">
          <a:spLocks noChangeArrowheads="1"/>
        </xdr:cNvSpPr>
      </xdr:nvSpPr>
      <xdr:spPr>
        <a:xfrm>
          <a:off x="2543175" y="390525"/>
          <a:ext cx="4171950" cy="15240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Detalhes</a:t>
          </a:r>
          <a:r>
            <a:rPr lang="en-US" cap="none" sz="1100" b="0" i="0" u="none" baseline="0">
              <a:solidFill>
                <a:srgbClr val="000000"/>
              </a:solidFill>
              <a:latin typeface="Calibri"/>
              <a:ea typeface="Calibri"/>
              <a:cs typeface="Calibri"/>
            </a:rPr>
            <a:t> dos custos de materiais: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 CPURL retirado o custo do RJ45 de 2 x 11,25 para compor a diferença no</a:t>
          </a:r>
          <a:r>
            <a:rPr lang="en-US" cap="none" sz="1100" b="0" i="0" u="none" baseline="0">
              <a:solidFill>
                <a:srgbClr val="000000"/>
              </a:solidFill>
              <a:latin typeface="Calibri"/>
              <a:ea typeface="Calibri"/>
              <a:cs typeface="Calibri"/>
            </a:rPr>
            <a:t> módulo de interfaces.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 Acrescentado um fator de 15% sobre o custo da placa RA8T pelo uso do novo trafo (sem custos conhecidos para compra em quandidade).</a:t>
          </a:r>
        </a:p>
      </xdr:txBody>
    </xdr:sp>
    <xdr:clientData/>
  </xdr:twoCellAnchor>
  <xdr:twoCellAnchor>
    <xdr:from>
      <xdr:col>2</xdr:col>
      <xdr:colOff>419100</xdr:colOff>
      <xdr:row>16</xdr:row>
      <xdr:rowOff>85725</xdr:rowOff>
    </xdr:from>
    <xdr:to>
      <xdr:col>7</xdr:col>
      <xdr:colOff>762000</xdr:colOff>
      <xdr:row>36</xdr:row>
      <xdr:rowOff>76200</xdr:rowOff>
    </xdr:to>
    <xdr:sp>
      <xdr:nvSpPr>
        <xdr:cNvPr id="2" name="CaixaDeTexto 2"/>
        <xdr:cNvSpPr txBox="1">
          <a:spLocks noChangeArrowheads="1"/>
        </xdr:cNvSpPr>
      </xdr:nvSpPr>
      <xdr:spPr>
        <a:xfrm>
          <a:off x="2562225" y="2667000"/>
          <a:ext cx="4152900" cy="31813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Detalhes</a:t>
          </a:r>
          <a:r>
            <a:rPr lang="en-US" cap="none" sz="1100" b="0" i="0" u="none" baseline="0">
              <a:solidFill>
                <a:srgbClr val="000000"/>
              </a:solidFill>
              <a:latin typeface="Calibri"/>
              <a:ea typeface="Calibri"/>
              <a:cs typeface="Calibri"/>
            </a:rPr>
            <a:t> para formação da margem de contribuição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 Custo de material (vide acima)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 Custo de mão de obra direta
</a:t>
          </a:r>
          <a:r>
            <a:rPr lang="en-US" cap="none" sz="1100" b="0" i="0" u="none" baseline="0">
              <a:solidFill>
                <a:srgbClr val="000000"/>
              </a:solidFill>
              <a:latin typeface="Calibri"/>
              <a:ea typeface="Calibri"/>
              <a:cs typeface="Calibri"/>
            </a:rPr>
            <a:t>R$ 19,14 / hora (fonte: Francisco)
</a:t>
          </a:r>
          <a:r>
            <a:rPr lang="en-US" cap="none" sz="1100" b="0" i="0" u="none" baseline="0">
              <a:solidFill>
                <a:srgbClr val="000000"/>
              </a:solidFill>
              <a:latin typeface="Calibri"/>
              <a:ea typeface="Calibri"/>
              <a:cs typeface="Calibri"/>
            </a:rPr>
            <a:t>Tempo estimado 2 horas (fonte: Antônio Márcio)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3) Outros custos diretos (fonte: Francisco)
</a:t>
          </a:r>
          <a:r>
            <a:rPr lang="en-US" cap="none" sz="1100" b="0" i="0" u="none" baseline="0">
              <a:solidFill>
                <a:srgbClr val="000000"/>
              </a:solidFill>
              <a:latin typeface="Calibri"/>
              <a:ea typeface="Calibri"/>
              <a:cs typeface="Calibri"/>
            </a:rPr>
            <a:t>Não determinados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4) Production expenses in costs of sales
</a:t>
          </a:r>
          <a:r>
            <a:rPr lang="en-US" cap="none" sz="1100" b="0" i="0" u="none" baseline="0">
              <a:solidFill>
                <a:srgbClr val="000000"/>
              </a:solidFill>
              <a:latin typeface="Calibri"/>
              <a:ea typeface="Calibri"/>
              <a:cs typeface="Calibri"/>
            </a:rPr>
            <a:t>12% do preço alvo do equipamento (fonte: Francisco/Fernando)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5) Provision for risks: (fonte: Francisco)
</a:t>
          </a:r>
          <a:r>
            <a:rPr lang="en-US" cap="none" sz="1100" b="0" i="0" u="none" baseline="0">
              <a:solidFill>
                <a:srgbClr val="000000"/>
              </a:solidFill>
              <a:latin typeface="Calibri"/>
              <a:ea typeface="Calibri"/>
              <a:cs typeface="Calibri"/>
            </a:rPr>
            <a:t>Não determinados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L35"/>
  <sheetViews>
    <sheetView showGridLines="0" showRowColHeaders="0" tabSelected="1" zoomScalePageLayoutView="0" workbookViewId="0" topLeftCell="A1">
      <selection activeCell="L61" sqref="L61"/>
    </sheetView>
  </sheetViews>
  <sheetFormatPr defaultColWidth="9.140625" defaultRowHeight="15"/>
  <cols>
    <col min="1" max="3" width="11.421875" style="232" customWidth="1"/>
    <col min="4" max="4" width="50.57421875" style="232" customWidth="1"/>
    <col min="5" max="9" width="11.421875" style="232" customWidth="1"/>
    <col min="10" max="10" width="10.28125" style="232" customWidth="1"/>
    <col min="11" max="16384" width="9.140625" style="232" customWidth="1"/>
  </cols>
  <sheetData>
    <row r="1" spans="1:12" ht="19.5">
      <c r="A1" s="225" t="s">
        <v>186</v>
      </c>
      <c r="B1" s="226"/>
      <c r="C1" s="226"/>
      <c r="D1" s="227"/>
      <c r="E1" s="228"/>
      <c r="F1" s="228"/>
      <c r="G1" s="229"/>
      <c r="H1" s="230"/>
      <c r="I1" s="230"/>
      <c r="J1" s="230"/>
      <c r="K1" s="230"/>
      <c r="L1" s="231"/>
    </row>
    <row r="2" spans="1:12" ht="19.5" hidden="1">
      <c r="A2" s="233"/>
      <c r="B2" s="234"/>
      <c r="C2" s="234"/>
      <c r="D2" s="235"/>
      <c r="E2" s="228"/>
      <c r="F2" s="228"/>
      <c r="G2" s="229"/>
      <c r="H2" s="235"/>
      <c r="I2" s="235"/>
      <c r="J2" s="235"/>
      <c r="K2" s="235"/>
      <c r="L2" s="231"/>
    </row>
    <row r="3" spans="1:12" s="239" customFormat="1" ht="12">
      <c r="A3" s="236"/>
      <c r="B3" s="237"/>
      <c r="C3" s="237"/>
      <c r="D3" s="237"/>
      <c r="E3" s="237"/>
      <c r="F3" s="237"/>
      <c r="G3" s="237"/>
      <c r="H3" s="237"/>
      <c r="I3" s="237"/>
      <c r="J3" s="238"/>
      <c r="K3" s="238"/>
      <c r="L3" s="231"/>
    </row>
    <row r="4" spans="1:12" ht="13.5">
      <c r="A4" s="240" t="s">
        <v>161</v>
      </c>
      <c r="B4" s="241"/>
      <c r="C4" s="241"/>
      <c r="D4" s="241"/>
      <c r="E4" s="241"/>
      <c r="F4" s="241"/>
      <c r="G4" s="241"/>
      <c r="H4" s="241"/>
      <c r="I4" s="241"/>
      <c r="J4" s="241"/>
      <c r="K4" s="241"/>
      <c r="L4" s="231"/>
    </row>
    <row r="5" spans="1:12" ht="12">
      <c r="A5" s="236"/>
      <c r="B5" s="237"/>
      <c r="C5" s="237"/>
      <c r="D5" s="237"/>
      <c r="E5" s="237"/>
      <c r="F5" s="237"/>
      <c r="G5" s="237"/>
      <c r="H5" s="237"/>
      <c r="I5" s="237"/>
      <c r="J5" s="238"/>
      <c r="K5" s="238"/>
      <c r="L5" s="231"/>
    </row>
    <row r="6" spans="1:12" ht="12.75">
      <c r="A6" s="242"/>
      <c r="B6" s="243" t="s">
        <v>162</v>
      </c>
      <c r="C6" s="237"/>
      <c r="D6" s="237"/>
      <c r="E6" s="237"/>
      <c r="F6" s="236"/>
      <c r="G6" s="237"/>
      <c r="H6" s="237"/>
      <c r="I6" s="237"/>
      <c r="J6" s="238"/>
      <c r="K6" s="238"/>
      <c r="L6" s="231"/>
    </row>
    <row r="7" spans="1:12" ht="12">
      <c r="A7" s="242"/>
      <c r="B7" s="244" t="s">
        <v>163</v>
      </c>
      <c r="C7" s="237"/>
      <c r="D7" s="237"/>
      <c r="E7" s="237"/>
      <c r="F7" s="236"/>
      <c r="G7" s="237"/>
      <c r="H7" s="237"/>
      <c r="I7" s="237"/>
      <c r="J7" s="238"/>
      <c r="K7" s="238"/>
      <c r="L7" s="231"/>
    </row>
    <row r="8" spans="1:12" ht="12">
      <c r="A8" s="236"/>
      <c r="B8" s="244" t="s">
        <v>164</v>
      </c>
      <c r="C8" s="245"/>
      <c r="D8" s="245"/>
      <c r="E8" s="245"/>
      <c r="F8" s="245"/>
      <c r="G8" s="245"/>
      <c r="H8" s="245"/>
      <c r="I8" s="245"/>
      <c r="J8" s="245"/>
      <c r="K8" s="245"/>
      <c r="L8" s="231"/>
    </row>
    <row r="9" spans="1:12" ht="14.25">
      <c r="A9" s="236"/>
      <c r="B9" s="257" t="s">
        <v>165</v>
      </c>
      <c r="C9" s="258"/>
      <c r="D9" s="258"/>
      <c r="E9" s="258"/>
      <c r="F9" s="258"/>
      <c r="G9" s="258"/>
      <c r="H9" s="258"/>
      <c r="I9" s="258"/>
      <c r="J9" s="258"/>
      <c r="K9" s="245"/>
      <c r="L9" s="231"/>
    </row>
    <row r="10" spans="1:12" ht="12">
      <c r="A10" s="236"/>
      <c r="B10" s="244" t="s">
        <v>166</v>
      </c>
      <c r="C10" s="245"/>
      <c r="D10" s="245"/>
      <c r="E10" s="245"/>
      <c r="F10" s="245"/>
      <c r="G10" s="245"/>
      <c r="H10" s="245"/>
      <c r="I10" s="245"/>
      <c r="J10" s="245"/>
      <c r="K10" s="245"/>
      <c r="L10" s="231"/>
    </row>
    <row r="11" spans="1:12" ht="12">
      <c r="A11" s="236"/>
      <c r="B11" s="244" t="s">
        <v>167</v>
      </c>
      <c r="C11" s="246"/>
      <c r="D11" s="246"/>
      <c r="E11" s="246"/>
      <c r="F11" s="246"/>
      <c r="G11" s="246"/>
      <c r="H11" s="246"/>
      <c r="I11" s="246"/>
      <c r="J11" s="246"/>
      <c r="K11" s="246"/>
      <c r="L11" s="231"/>
    </row>
    <row r="12" spans="1:12" ht="14.25">
      <c r="A12" s="236"/>
      <c r="B12" s="257"/>
      <c r="C12" s="259"/>
      <c r="D12" s="259"/>
      <c r="E12" s="259"/>
      <c r="F12" s="259"/>
      <c r="G12" s="259"/>
      <c r="H12" s="259"/>
      <c r="I12" s="259"/>
      <c r="J12" s="259"/>
      <c r="K12" s="246"/>
      <c r="L12" s="231"/>
    </row>
    <row r="13" spans="1:12" ht="12.75">
      <c r="A13" s="236"/>
      <c r="B13" s="243" t="s">
        <v>168</v>
      </c>
      <c r="C13" s="246"/>
      <c r="D13" s="246"/>
      <c r="E13" s="246"/>
      <c r="F13" s="246"/>
      <c r="G13" s="246"/>
      <c r="H13" s="246"/>
      <c r="I13" s="246"/>
      <c r="J13" s="246"/>
      <c r="K13" s="246"/>
      <c r="L13" s="231"/>
    </row>
    <row r="14" spans="1:12" ht="12">
      <c r="A14" s="236"/>
      <c r="B14" s="247" t="s">
        <v>169</v>
      </c>
      <c r="C14" s="246"/>
      <c r="D14" s="246"/>
      <c r="E14" s="246"/>
      <c r="F14" s="246"/>
      <c r="G14" s="246"/>
      <c r="H14" s="246"/>
      <c r="I14" s="246"/>
      <c r="J14" s="246"/>
      <c r="K14" s="246"/>
      <c r="L14" s="231"/>
    </row>
    <row r="15" spans="1:12" ht="12">
      <c r="A15" s="236"/>
      <c r="B15" s="244" t="s">
        <v>170</v>
      </c>
      <c r="C15" s="246"/>
      <c r="D15" s="246"/>
      <c r="E15" s="246"/>
      <c r="F15" s="246"/>
      <c r="G15" s="246"/>
      <c r="H15" s="246"/>
      <c r="I15" s="246"/>
      <c r="J15" s="246"/>
      <c r="K15" s="246"/>
      <c r="L15" s="231"/>
    </row>
    <row r="16" spans="1:12" ht="12">
      <c r="A16" s="242"/>
      <c r="B16" s="248" t="s">
        <v>171</v>
      </c>
      <c r="C16" s="249"/>
      <c r="D16" s="249"/>
      <c r="E16" s="249"/>
      <c r="F16" s="249"/>
      <c r="G16" s="249"/>
      <c r="H16" s="249"/>
      <c r="I16" s="249"/>
      <c r="J16" s="250"/>
      <c r="K16" s="250"/>
      <c r="L16" s="231"/>
    </row>
    <row r="17" spans="1:12" ht="12">
      <c r="A17" s="236"/>
      <c r="B17" s="248" t="s">
        <v>172</v>
      </c>
      <c r="C17" s="246"/>
      <c r="D17" s="246"/>
      <c r="E17" s="246"/>
      <c r="F17" s="246"/>
      <c r="G17" s="246"/>
      <c r="H17" s="246"/>
      <c r="I17" s="246"/>
      <c r="J17" s="246"/>
      <c r="K17" s="246"/>
      <c r="L17" s="231"/>
    </row>
    <row r="18" spans="1:12" ht="12">
      <c r="A18" s="236"/>
      <c r="B18" s="244" t="s">
        <v>173</v>
      </c>
      <c r="C18" s="245"/>
      <c r="D18" s="245"/>
      <c r="E18" s="245"/>
      <c r="F18" s="245"/>
      <c r="G18" s="245"/>
      <c r="H18" s="245"/>
      <c r="I18" s="245"/>
      <c r="J18" s="245"/>
      <c r="K18" s="245"/>
      <c r="L18" s="231"/>
    </row>
    <row r="19" spans="1:12" ht="12">
      <c r="A19" s="236"/>
      <c r="B19" s="248"/>
      <c r="C19" s="249"/>
      <c r="D19" s="249"/>
      <c r="E19" s="249"/>
      <c r="F19" s="249"/>
      <c r="G19" s="249"/>
      <c r="H19" s="249"/>
      <c r="I19" s="249"/>
      <c r="J19" s="250"/>
      <c r="K19" s="250"/>
      <c r="L19" s="231"/>
    </row>
    <row r="20" spans="1:12" ht="12.75">
      <c r="A20" s="236"/>
      <c r="B20" s="243" t="s">
        <v>174</v>
      </c>
      <c r="C20" s="246"/>
      <c r="D20" s="246"/>
      <c r="E20" s="246"/>
      <c r="F20" s="246"/>
      <c r="G20" s="246"/>
      <c r="H20" s="246"/>
      <c r="I20" s="246"/>
      <c r="J20" s="246"/>
      <c r="K20" s="246"/>
      <c r="L20" s="231"/>
    </row>
    <row r="21" spans="1:12" ht="12">
      <c r="A21" s="236"/>
      <c r="B21" s="244" t="s">
        <v>175</v>
      </c>
      <c r="C21" s="237"/>
      <c r="D21" s="237"/>
      <c r="E21" s="237"/>
      <c r="F21" s="237"/>
      <c r="G21" s="237"/>
      <c r="H21" s="237"/>
      <c r="I21" s="237"/>
      <c r="J21" s="238"/>
      <c r="K21" s="238"/>
      <c r="L21" s="231"/>
    </row>
    <row r="22" spans="1:12" ht="12">
      <c r="A22" s="236"/>
      <c r="B22" s="247" t="s">
        <v>176</v>
      </c>
      <c r="C22" s="248"/>
      <c r="D22" s="237"/>
      <c r="E22" s="237"/>
      <c r="F22" s="237"/>
      <c r="G22" s="237"/>
      <c r="H22" s="237"/>
      <c r="I22" s="237"/>
      <c r="J22" s="238"/>
      <c r="K22" s="238"/>
      <c r="L22" s="231"/>
    </row>
    <row r="23" spans="1:12" ht="12">
      <c r="A23" s="236"/>
      <c r="B23" s="247" t="s">
        <v>177</v>
      </c>
      <c r="C23" s="237"/>
      <c r="D23" s="237"/>
      <c r="E23" s="237"/>
      <c r="F23" s="237"/>
      <c r="G23" s="237"/>
      <c r="H23" s="237"/>
      <c r="I23" s="237"/>
      <c r="J23" s="238"/>
      <c r="K23" s="238"/>
      <c r="L23" s="231"/>
    </row>
    <row r="24" spans="1:12" ht="12">
      <c r="A24" s="236"/>
      <c r="B24" s="247" t="s">
        <v>178</v>
      </c>
      <c r="C24" s="245"/>
      <c r="D24" s="245"/>
      <c r="E24" s="245"/>
      <c r="F24" s="245"/>
      <c r="G24" s="245"/>
      <c r="H24" s="245"/>
      <c r="I24" s="245"/>
      <c r="J24" s="245"/>
      <c r="K24" s="245"/>
      <c r="L24" s="231"/>
    </row>
    <row r="25" spans="1:12" ht="12">
      <c r="A25" s="236"/>
      <c r="B25" s="244" t="s">
        <v>179</v>
      </c>
      <c r="C25" s="249"/>
      <c r="D25" s="249"/>
      <c r="E25" s="249"/>
      <c r="F25" s="249"/>
      <c r="G25" s="249"/>
      <c r="H25" s="249"/>
      <c r="I25" s="249"/>
      <c r="J25" s="250"/>
      <c r="K25" s="250"/>
      <c r="L25" s="231"/>
    </row>
    <row r="26" spans="1:12" ht="12">
      <c r="A26" s="236"/>
      <c r="B26" s="244" t="s">
        <v>180</v>
      </c>
      <c r="C26" s="251"/>
      <c r="D26" s="251"/>
      <c r="E26" s="251"/>
      <c r="F26" s="251"/>
      <c r="G26" s="251"/>
      <c r="H26" s="251"/>
      <c r="I26" s="251"/>
      <c r="J26" s="251"/>
      <c r="K26" s="251"/>
      <c r="L26" s="231"/>
    </row>
    <row r="27" spans="1:12" ht="12">
      <c r="A27" s="236"/>
      <c r="B27" s="244"/>
      <c r="C27" s="251"/>
      <c r="D27" s="251"/>
      <c r="E27" s="251"/>
      <c r="F27" s="251"/>
      <c r="G27" s="251"/>
      <c r="H27" s="251"/>
      <c r="I27" s="251"/>
      <c r="J27" s="251"/>
      <c r="K27" s="251"/>
      <c r="L27" s="231"/>
    </row>
    <row r="28" spans="1:12" ht="12">
      <c r="A28" s="236"/>
      <c r="B28" s="244"/>
      <c r="C28" s="251"/>
      <c r="D28" s="251"/>
      <c r="E28" s="251"/>
      <c r="F28" s="251"/>
      <c r="G28" s="251"/>
      <c r="H28" s="251"/>
      <c r="I28" s="251"/>
      <c r="J28" s="251"/>
      <c r="K28" s="251"/>
      <c r="L28" s="231"/>
    </row>
    <row r="29" spans="1:12" ht="13.5">
      <c r="A29" s="240"/>
      <c r="B29" s="241"/>
      <c r="C29" s="241"/>
      <c r="D29" s="241"/>
      <c r="E29" s="241"/>
      <c r="F29" s="241"/>
      <c r="G29" s="241"/>
      <c r="H29" s="241"/>
      <c r="I29" s="241"/>
      <c r="J29" s="241"/>
      <c r="K29" s="241"/>
      <c r="L29" s="231"/>
    </row>
    <row r="30" spans="1:12" ht="12">
      <c r="A30" s="231"/>
      <c r="B30" s="231"/>
      <c r="C30" s="231"/>
      <c r="D30" s="231"/>
      <c r="E30" s="231"/>
      <c r="F30" s="231"/>
      <c r="G30" s="231"/>
      <c r="H30" s="231"/>
      <c r="I30" s="231"/>
      <c r="J30" s="231"/>
      <c r="K30" s="231"/>
      <c r="L30" s="231"/>
    </row>
    <row r="32" spans="2:4" ht="12.75">
      <c r="B32" s="252" t="s">
        <v>181</v>
      </c>
      <c r="C32" s="252" t="s">
        <v>182</v>
      </c>
      <c r="D32" s="252" t="s">
        <v>183</v>
      </c>
    </row>
    <row r="33" spans="2:4" ht="12">
      <c r="B33" s="256">
        <v>1.1</v>
      </c>
      <c r="C33" s="255">
        <v>42544</v>
      </c>
      <c r="D33" s="253" t="s">
        <v>184</v>
      </c>
    </row>
    <row r="34" spans="2:4" ht="12">
      <c r="B34" s="256">
        <v>1.2</v>
      </c>
      <c r="C34" s="255">
        <v>44166</v>
      </c>
      <c r="D34" s="232" t="s">
        <v>187</v>
      </c>
    </row>
    <row r="35" spans="2:4" ht="12">
      <c r="B35" s="256">
        <v>1.3</v>
      </c>
      <c r="C35" s="255">
        <v>44748</v>
      </c>
      <c r="D35" s="232" t="s">
        <v>189</v>
      </c>
    </row>
  </sheetData>
  <sheetProtection password="C927" sheet="1"/>
  <mergeCells count="2">
    <mergeCell ref="B9:J9"/>
    <mergeCell ref="B12:J12"/>
  </mergeCells>
  <printOptions/>
  <pageMargins left="0.511811024" right="0.511811024" top="0.787401575" bottom="0.787401575" header="0.31496062" footer="0.31496062"/>
  <pageSetup orientation="portrait" paperSize="9"/>
</worksheet>
</file>

<file path=xl/worksheets/sheet2.xml><?xml version="1.0" encoding="utf-8"?>
<worksheet xmlns="http://schemas.openxmlformats.org/spreadsheetml/2006/main" xmlns:r="http://schemas.openxmlformats.org/officeDocument/2006/relationships">
  <dimension ref="A1:IS65"/>
  <sheetViews>
    <sheetView showGridLines="0" showRowColHeaders="0" zoomScalePageLayoutView="0" workbookViewId="0" topLeftCell="A1">
      <pane ySplit="4" topLeftCell="A5" activePane="bottomLeft" state="frozen"/>
      <selection pane="topLeft" activeCell="A1" sqref="A1"/>
      <selection pane="bottomLeft" activeCell="S76" sqref="S76"/>
    </sheetView>
  </sheetViews>
  <sheetFormatPr defaultColWidth="11.421875" defaultRowHeight="15"/>
  <cols>
    <col min="1" max="1" width="8.140625" style="103" customWidth="1"/>
    <col min="2" max="2" width="30.8515625" style="103" customWidth="1"/>
    <col min="3" max="3" width="30.140625" style="103" customWidth="1"/>
    <col min="4" max="4" width="7.421875" style="124" customWidth="1"/>
    <col min="5" max="9" width="3.28125" style="124" customWidth="1"/>
    <col min="10" max="10" width="3.421875" style="124" customWidth="1"/>
    <col min="11" max="15" width="3.28125" style="124" customWidth="1"/>
    <col min="16" max="16" width="3.421875" style="124" customWidth="1"/>
    <col min="17" max="16384" width="11.421875" style="103" customWidth="1"/>
  </cols>
  <sheetData>
    <row r="1" spans="1:16" ht="12">
      <c r="A1" s="101" t="str">
        <f>HLOOKUP(language!$C$3,language!$E$1:$Z533,39,FALSE)</f>
        <v>Information required with Order</v>
      </c>
      <c r="B1" s="101"/>
      <c r="C1" s="101"/>
      <c r="D1" s="102"/>
      <c r="E1" s="102"/>
      <c r="F1" s="102"/>
      <c r="G1" s="102"/>
      <c r="H1" s="102"/>
      <c r="I1" s="102"/>
      <c r="J1" s="102"/>
      <c r="K1" s="102"/>
      <c r="L1" s="102"/>
      <c r="M1" s="102"/>
      <c r="N1" s="102"/>
      <c r="O1" s="102"/>
      <c r="P1" s="102"/>
    </row>
    <row r="2" spans="1:16" ht="12">
      <c r="A2" s="101"/>
      <c r="B2" s="101"/>
      <c r="C2" s="101"/>
      <c r="D2" s="102"/>
      <c r="E2" s="102"/>
      <c r="F2" s="102"/>
      <c r="G2" s="102"/>
      <c r="H2" s="102"/>
      <c r="I2" s="102"/>
      <c r="J2" s="102"/>
      <c r="K2" s="102"/>
      <c r="L2" s="102"/>
      <c r="M2" s="102"/>
      <c r="N2" s="102"/>
      <c r="O2" s="102"/>
      <c r="P2" s="102"/>
    </row>
    <row r="3" spans="1:16" ht="15" customHeight="1">
      <c r="A3" s="104" t="str">
        <f>HLOOKUP(language!$C$3,language!$E$1:$Z533,40,FALSE)</f>
        <v>Variants</v>
      </c>
      <c r="B3" s="260" t="str">
        <f>HLOOKUP(language!$C$3,language!$E$1:$Z533,41,FALSE)</f>
        <v>Order Number</v>
      </c>
      <c r="C3" s="260"/>
      <c r="D3" s="105"/>
      <c r="E3" s="105"/>
      <c r="F3" s="105"/>
      <c r="G3" s="105"/>
      <c r="H3" s="105"/>
      <c r="I3" s="105"/>
      <c r="J3" s="105"/>
      <c r="K3" s="105"/>
      <c r="L3" s="105"/>
      <c r="M3" s="105"/>
      <c r="N3" s="105"/>
      <c r="O3" s="105"/>
      <c r="P3" s="105"/>
    </row>
    <row r="4" spans="1:16" ht="12.75">
      <c r="A4" s="109" t="str">
        <f>Database!A2</f>
        <v>Model Type</v>
      </c>
      <c r="B4" s="101"/>
      <c r="C4" s="107"/>
      <c r="D4" s="108" t="s">
        <v>155</v>
      </c>
      <c r="E4" s="108">
        <v>4</v>
      </c>
      <c r="F4" s="108">
        <v>5</v>
      </c>
      <c r="G4" s="108">
        <v>6</v>
      </c>
      <c r="H4" s="108">
        <v>7</v>
      </c>
      <c r="I4" s="108">
        <v>8</v>
      </c>
      <c r="J4" s="108">
        <v>9</v>
      </c>
      <c r="K4" s="108">
        <v>10</v>
      </c>
      <c r="L4" s="108">
        <v>11</v>
      </c>
      <c r="M4" s="108">
        <v>12</v>
      </c>
      <c r="N4" s="108">
        <v>13</v>
      </c>
      <c r="O4" s="108">
        <v>14</v>
      </c>
      <c r="P4" s="108">
        <v>15</v>
      </c>
    </row>
    <row r="5" spans="1:16" ht="12">
      <c r="A5" s="123" t="s">
        <v>147</v>
      </c>
      <c r="B5" s="186"/>
      <c r="C5" s="187"/>
      <c r="D5" s="117" t="s">
        <v>154</v>
      </c>
      <c r="E5" s="188"/>
      <c r="F5" s="188"/>
      <c r="G5" s="188"/>
      <c r="H5" s="188"/>
      <c r="I5" s="188"/>
      <c r="J5" s="188"/>
      <c r="K5" s="188"/>
      <c r="L5" s="188"/>
      <c r="M5" s="188"/>
      <c r="N5" s="188"/>
      <c r="O5" s="188"/>
      <c r="P5" s="188"/>
    </row>
    <row r="6" spans="1:253" ht="12">
      <c r="A6" s="115"/>
      <c r="B6" s="116"/>
      <c r="C6" s="116"/>
      <c r="D6" s="119"/>
      <c r="E6" s="112"/>
      <c r="F6" s="113"/>
      <c r="G6" s="114"/>
      <c r="H6" s="112"/>
      <c r="I6" s="113"/>
      <c r="J6" s="114"/>
      <c r="K6" s="112"/>
      <c r="L6" s="113"/>
      <c r="M6" s="114"/>
      <c r="N6" s="112"/>
      <c r="O6" s="113"/>
      <c r="P6" s="114"/>
      <c r="Q6" s="118"/>
      <c r="R6" s="118"/>
      <c r="S6" s="118"/>
      <c r="T6" s="118"/>
      <c r="U6" s="118"/>
      <c r="V6" s="118"/>
      <c r="W6" s="118"/>
      <c r="X6" s="118"/>
      <c r="Y6" s="118"/>
      <c r="Z6" s="118"/>
      <c r="AA6" s="118"/>
      <c r="AB6" s="118"/>
      <c r="AC6" s="118"/>
      <c r="AD6" s="118"/>
      <c r="AE6" s="118"/>
      <c r="AF6" s="118"/>
      <c r="AG6" s="118"/>
      <c r="AH6" s="118"/>
      <c r="AI6" s="118"/>
      <c r="AJ6" s="118"/>
      <c r="AK6" s="118"/>
      <c r="AL6" s="118"/>
      <c r="AM6" s="118"/>
      <c r="AN6" s="118"/>
      <c r="AO6" s="118"/>
      <c r="AP6" s="118"/>
      <c r="AQ6" s="118"/>
      <c r="AR6" s="118"/>
      <c r="AS6" s="118"/>
      <c r="AT6" s="118"/>
      <c r="AU6" s="118"/>
      <c r="AV6" s="118"/>
      <c r="AW6" s="118"/>
      <c r="AX6" s="118"/>
      <c r="AY6" s="118"/>
      <c r="AZ6" s="118"/>
      <c r="BA6" s="118"/>
      <c r="BB6" s="118"/>
      <c r="BC6" s="118"/>
      <c r="BD6" s="118"/>
      <c r="BE6" s="118"/>
      <c r="BF6" s="118"/>
      <c r="BG6" s="118"/>
      <c r="BH6" s="118"/>
      <c r="BI6" s="118"/>
      <c r="BJ6" s="118"/>
      <c r="BK6" s="118"/>
      <c r="BL6" s="118"/>
      <c r="BM6" s="118"/>
      <c r="BN6" s="118"/>
      <c r="BO6" s="118"/>
      <c r="BP6" s="118"/>
      <c r="BQ6" s="118"/>
      <c r="BR6" s="118"/>
      <c r="BS6" s="118"/>
      <c r="BT6" s="118"/>
      <c r="BU6" s="118"/>
      <c r="BV6" s="118"/>
      <c r="BW6" s="118"/>
      <c r="BX6" s="118"/>
      <c r="BY6" s="118"/>
      <c r="BZ6" s="118"/>
      <c r="CA6" s="118"/>
      <c r="CB6" s="118"/>
      <c r="CC6" s="118"/>
      <c r="CD6" s="118"/>
      <c r="CE6" s="118"/>
      <c r="CF6" s="118"/>
      <c r="CG6" s="118"/>
      <c r="CH6" s="118"/>
      <c r="CI6" s="118"/>
      <c r="CJ6" s="118"/>
      <c r="CK6" s="118"/>
      <c r="CL6" s="118"/>
      <c r="CM6" s="118"/>
      <c r="CN6" s="118"/>
      <c r="CO6" s="118"/>
      <c r="CP6" s="118"/>
      <c r="CQ6" s="118"/>
      <c r="CR6" s="118"/>
      <c r="CS6" s="118"/>
      <c r="CT6" s="118"/>
      <c r="CU6" s="118"/>
      <c r="CV6" s="118"/>
      <c r="CW6" s="118"/>
      <c r="CX6" s="118"/>
      <c r="CY6" s="118"/>
      <c r="CZ6" s="118"/>
      <c r="DA6" s="118"/>
      <c r="DB6" s="118"/>
      <c r="DC6" s="118"/>
      <c r="DD6" s="118"/>
      <c r="DE6" s="118"/>
      <c r="DF6" s="118"/>
      <c r="DG6" s="118"/>
      <c r="DH6" s="118"/>
      <c r="DI6" s="118"/>
      <c r="DJ6" s="118"/>
      <c r="DK6" s="118"/>
      <c r="DL6" s="118"/>
      <c r="DM6" s="118"/>
      <c r="DN6" s="118"/>
      <c r="DO6" s="118"/>
      <c r="DP6" s="118"/>
      <c r="DQ6" s="118"/>
      <c r="DR6" s="118"/>
      <c r="DS6" s="118"/>
      <c r="DT6" s="118"/>
      <c r="DU6" s="118"/>
      <c r="DV6" s="118"/>
      <c r="DW6" s="118"/>
      <c r="DX6" s="118"/>
      <c r="DY6" s="118"/>
      <c r="DZ6" s="118"/>
      <c r="EA6" s="118"/>
      <c r="EB6" s="118"/>
      <c r="EC6" s="118"/>
      <c r="ED6" s="118"/>
      <c r="EE6" s="118"/>
      <c r="EF6" s="118"/>
      <c r="EG6" s="118"/>
      <c r="EH6" s="118"/>
      <c r="EI6" s="118"/>
      <c r="EJ6" s="118"/>
      <c r="EK6" s="118"/>
      <c r="EL6" s="118"/>
      <c r="EM6" s="118"/>
      <c r="EN6" s="118"/>
      <c r="EO6" s="118"/>
      <c r="EP6" s="118"/>
      <c r="EQ6" s="118"/>
      <c r="ER6" s="118"/>
      <c r="ES6" s="118"/>
      <c r="ET6" s="118"/>
      <c r="EU6" s="118"/>
      <c r="EV6" s="118"/>
      <c r="EW6" s="118"/>
      <c r="EX6" s="118"/>
      <c r="EY6" s="118"/>
      <c r="EZ6" s="118"/>
      <c r="FA6" s="118"/>
      <c r="FB6" s="118"/>
      <c r="FC6" s="118"/>
      <c r="FD6" s="118"/>
      <c r="FE6" s="118"/>
      <c r="FF6" s="118"/>
      <c r="FG6" s="118"/>
      <c r="FH6" s="118"/>
      <c r="FI6" s="118"/>
      <c r="FJ6" s="118"/>
      <c r="FK6" s="118"/>
      <c r="FL6" s="118"/>
      <c r="FM6" s="118"/>
      <c r="FN6" s="118"/>
      <c r="FO6" s="118"/>
      <c r="FP6" s="118"/>
      <c r="FQ6" s="118"/>
      <c r="FR6" s="118"/>
      <c r="FS6" s="118"/>
      <c r="FT6" s="118"/>
      <c r="FU6" s="118"/>
      <c r="FV6" s="118"/>
      <c r="FW6" s="118"/>
      <c r="FX6" s="118"/>
      <c r="FY6" s="118"/>
      <c r="FZ6" s="118"/>
      <c r="GA6" s="118"/>
      <c r="GB6" s="118"/>
      <c r="GC6" s="118"/>
      <c r="GD6" s="118"/>
      <c r="GE6" s="118"/>
      <c r="GF6" s="118"/>
      <c r="GG6" s="118"/>
      <c r="GH6" s="118"/>
      <c r="GI6" s="118"/>
      <c r="GJ6" s="118"/>
      <c r="GK6" s="118"/>
      <c r="GL6" s="118"/>
      <c r="GM6" s="118"/>
      <c r="GN6" s="118"/>
      <c r="GO6" s="118"/>
      <c r="GP6" s="118"/>
      <c r="GQ6" s="118"/>
      <c r="GR6" s="118"/>
      <c r="GS6" s="118"/>
      <c r="GT6" s="118"/>
      <c r="GU6" s="118"/>
      <c r="GV6" s="118"/>
      <c r="GW6" s="118"/>
      <c r="GX6" s="118"/>
      <c r="GY6" s="118"/>
      <c r="GZ6" s="118"/>
      <c r="HA6" s="118"/>
      <c r="HB6" s="118"/>
      <c r="HC6" s="118"/>
      <c r="HD6" s="118"/>
      <c r="HE6" s="118"/>
      <c r="HF6" s="118"/>
      <c r="HG6" s="118"/>
      <c r="HH6" s="118"/>
      <c r="HI6" s="118"/>
      <c r="HJ6" s="118"/>
      <c r="HK6" s="118"/>
      <c r="HL6" s="118"/>
      <c r="HM6" s="118"/>
      <c r="HN6" s="118"/>
      <c r="HO6" s="118"/>
      <c r="HP6" s="118"/>
      <c r="HQ6" s="118"/>
      <c r="HR6" s="118"/>
      <c r="HS6" s="118"/>
      <c r="HT6" s="118"/>
      <c r="HU6" s="118"/>
      <c r="HV6" s="118"/>
      <c r="HW6" s="118"/>
      <c r="HX6" s="118"/>
      <c r="HY6" s="118"/>
      <c r="HZ6" s="118"/>
      <c r="IA6" s="118"/>
      <c r="IB6" s="118"/>
      <c r="IC6" s="118"/>
      <c r="ID6" s="118"/>
      <c r="IE6" s="118"/>
      <c r="IF6" s="118"/>
      <c r="IG6" s="118"/>
      <c r="IH6" s="118"/>
      <c r="II6" s="118"/>
      <c r="IJ6" s="118"/>
      <c r="IK6" s="118"/>
      <c r="IL6" s="118"/>
      <c r="IM6" s="118"/>
      <c r="IN6" s="118"/>
      <c r="IO6" s="118"/>
      <c r="IP6" s="118"/>
      <c r="IQ6" s="118"/>
      <c r="IR6" s="118"/>
      <c r="IS6" s="118"/>
    </row>
    <row r="7" spans="1:253" ht="12.75">
      <c r="A7" s="120" t="s">
        <v>148</v>
      </c>
      <c r="B7" s="106"/>
      <c r="C7" s="106"/>
      <c r="D7" s="121"/>
      <c r="E7" s="110"/>
      <c r="F7" s="113"/>
      <c r="G7" s="114"/>
      <c r="H7" s="112"/>
      <c r="I7" s="113"/>
      <c r="J7" s="114"/>
      <c r="K7" s="112"/>
      <c r="L7" s="113"/>
      <c r="M7" s="114"/>
      <c r="N7" s="112"/>
      <c r="O7" s="113"/>
      <c r="P7" s="114"/>
      <c r="Q7" s="118"/>
      <c r="R7" s="118"/>
      <c r="S7" s="118"/>
      <c r="T7" s="118"/>
      <c r="U7" s="118"/>
      <c r="V7" s="118"/>
      <c r="W7" s="118"/>
      <c r="X7" s="118"/>
      <c r="Y7" s="118"/>
      <c r="Z7" s="118"/>
      <c r="AA7" s="118"/>
      <c r="AB7" s="118"/>
      <c r="AC7" s="118"/>
      <c r="AD7" s="118"/>
      <c r="AE7" s="118"/>
      <c r="AF7" s="118"/>
      <c r="AG7" s="118"/>
      <c r="AH7" s="118"/>
      <c r="AI7" s="118"/>
      <c r="AJ7" s="118"/>
      <c r="AK7" s="118"/>
      <c r="AL7" s="118"/>
      <c r="AM7" s="118"/>
      <c r="AN7" s="118"/>
      <c r="AO7" s="118"/>
      <c r="AP7" s="118"/>
      <c r="AQ7" s="118"/>
      <c r="AR7" s="118"/>
      <c r="AS7" s="118"/>
      <c r="AT7" s="118"/>
      <c r="AU7" s="118"/>
      <c r="AV7" s="118"/>
      <c r="AW7" s="118"/>
      <c r="AX7" s="118"/>
      <c r="AY7" s="118"/>
      <c r="AZ7" s="118"/>
      <c r="BA7" s="118"/>
      <c r="BB7" s="118"/>
      <c r="BC7" s="118"/>
      <c r="BD7" s="118"/>
      <c r="BE7" s="118"/>
      <c r="BF7" s="118"/>
      <c r="BG7" s="118"/>
      <c r="BH7" s="118"/>
      <c r="BI7" s="118"/>
      <c r="BJ7" s="118"/>
      <c r="BK7" s="118"/>
      <c r="BL7" s="118"/>
      <c r="BM7" s="118"/>
      <c r="BN7" s="118"/>
      <c r="BO7" s="118"/>
      <c r="BP7" s="118"/>
      <c r="BQ7" s="118"/>
      <c r="BR7" s="118"/>
      <c r="BS7" s="118"/>
      <c r="BT7" s="118"/>
      <c r="BU7" s="118"/>
      <c r="BV7" s="118"/>
      <c r="BW7" s="118"/>
      <c r="BX7" s="118"/>
      <c r="BY7" s="118"/>
      <c r="BZ7" s="118"/>
      <c r="CA7" s="118"/>
      <c r="CB7" s="118"/>
      <c r="CC7" s="118"/>
      <c r="CD7" s="118"/>
      <c r="CE7" s="118"/>
      <c r="CF7" s="118"/>
      <c r="CG7" s="118"/>
      <c r="CH7" s="118"/>
      <c r="CI7" s="118"/>
      <c r="CJ7" s="118"/>
      <c r="CK7" s="118"/>
      <c r="CL7" s="118"/>
      <c r="CM7" s="118"/>
      <c r="CN7" s="118"/>
      <c r="CO7" s="118"/>
      <c r="CP7" s="118"/>
      <c r="CQ7" s="118"/>
      <c r="CR7" s="118"/>
      <c r="CS7" s="118"/>
      <c r="CT7" s="118"/>
      <c r="CU7" s="118"/>
      <c r="CV7" s="118"/>
      <c r="CW7" s="118"/>
      <c r="CX7" s="118"/>
      <c r="CY7" s="118"/>
      <c r="CZ7" s="118"/>
      <c r="DA7" s="118"/>
      <c r="DB7" s="118"/>
      <c r="DC7" s="118"/>
      <c r="DD7" s="118"/>
      <c r="DE7" s="118"/>
      <c r="DF7" s="118"/>
      <c r="DG7" s="118"/>
      <c r="DH7" s="118"/>
      <c r="DI7" s="118"/>
      <c r="DJ7" s="118"/>
      <c r="DK7" s="118"/>
      <c r="DL7" s="118"/>
      <c r="DM7" s="118"/>
      <c r="DN7" s="118"/>
      <c r="DO7" s="118"/>
      <c r="DP7" s="118"/>
      <c r="DQ7" s="118"/>
      <c r="DR7" s="118"/>
      <c r="DS7" s="118"/>
      <c r="DT7" s="118"/>
      <c r="DU7" s="118"/>
      <c r="DV7" s="118"/>
      <c r="DW7" s="118"/>
      <c r="DX7" s="118"/>
      <c r="DY7" s="118"/>
      <c r="DZ7" s="118"/>
      <c r="EA7" s="118"/>
      <c r="EB7" s="118"/>
      <c r="EC7" s="118"/>
      <c r="ED7" s="118"/>
      <c r="EE7" s="118"/>
      <c r="EF7" s="118"/>
      <c r="EG7" s="118"/>
      <c r="EH7" s="118"/>
      <c r="EI7" s="118"/>
      <c r="EJ7" s="118"/>
      <c r="EK7" s="118"/>
      <c r="EL7" s="118"/>
      <c r="EM7" s="118"/>
      <c r="EN7" s="118"/>
      <c r="EO7" s="118"/>
      <c r="EP7" s="118"/>
      <c r="EQ7" s="118"/>
      <c r="ER7" s="118"/>
      <c r="ES7" s="118"/>
      <c r="ET7" s="118"/>
      <c r="EU7" s="118"/>
      <c r="EV7" s="118"/>
      <c r="EW7" s="118"/>
      <c r="EX7" s="118"/>
      <c r="EY7" s="118"/>
      <c r="EZ7" s="118"/>
      <c r="FA7" s="118"/>
      <c r="FB7" s="118"/>
      <c r="FC7" s="118"/>
      <c r="FD7" s="118"/>
      <c r="FE7" s="118"/>
      <c r="FF7" s="118"/>
      <c r="FG7" s="118"/>
      <c r="FH7" s="118"/>
      <c r="FI7" s="118"/>
      <c r="FJ7" s="118"/>
      <c r="FK7" s="118"/>
      <c r="FL7" s="118"/>
      <c r="FM7" s="118"/>
      <c r="FN7" s="118"/>
      <c r="FO7" s="118"/>
      <c r="FP7" s="118"/>
      <c r="FQ7" s="118"/>
      <c r="FR7" s="118"/>
      <c r="FS7" s="118"/>
      <c r="FT7" s="118"/>
      <c r="FU7" s="118"/>
      <c r="FV7" s="118"/>
      <c r="FW7" s="118"/>
      <c r="FX7" s="118"/>
      <c r="FY7" s="118"/>
      <c r="FZ7" s="118"/>
      <c r="GA7" s="118"/>
      <c r="GB7" s="118"/>
      <c r="GC7" s="118"/>
      <c r="GD7" s="118"/>
      <c r="GE7" s="118"/>
      <c r="GF7" s="118"/>
      <c r="GG7" s="118"/>
      <c r="GH7" s="118"/>
      <c r="GI7" s="118"/>
      <c r="GJ7" s="118"/>
      <c r="GK7" s="118"/>
      <c r="GL7" s="118"/>
      <c r="GM7" s="118"/>
      <c r="GN7" s="118"/>
      <c r="GO7" s="118"/>
      <c r="GP7" s="118"/>
      <c r="GQ7" s="118"/>
      <c r="GR7" s="118"/>
      <c r="GS7" s="118"/>
      <c r="GT7" s="118"/>
      <c r="GU7" s="118"/>
      <c r="GV7" s="118"/>
      <c r="GW7" s="118"/>
      <c r="GX7" s="118"/>
      <c r="GY7" s="118"/>
      <c r="GZ7" s="118"/>
      <c r="HA7" s="118"/>
      <c r="HB7" s="118"/>
      <c r="HC7" s="118"/>
      <c r="HD7" s="118"/>
      <c r="HE7" s="118"/>
      <c r="HF7" s="118"/>
      <c r="HG7" s="118"/>
      <c r="HH7" s="118"/>
      <c r="HI7" s="118"/>
      <c r="HJ7" s="118"/>
      <c r="HK7" s="118"/>
      <c r="HL7" s="118"/>
      <c r="HM7" s="118"/>
      <c r="HN7" s="118"/>
      <c r="HO7" s="118"/>
      <c r="HP7" s="118"/>
      <c r="HQ7" s="118"/>
      <c r="HR7" s="118"/>
      <c r="HS7" s="118"/>
      <c r="HT7" s="118"/>
      <c r="HU7" s="118"/>
      <c r="HV7" s="118"/>
      <c r="HW7" s="118"/>
      <c r="HX7" s="118"/>
      <c r="HY7" s="118"/>
      <c r="HZ7" s="118"/>
      <c r="IA7" s="118"/>
      <c r="IB7" s="118"/>
      <c r="IC7" s="118"/>
      <c r="ID7" s="118"/>
      <c r="IE7" s="118"/>
      <c r="IF7" s="118"/>
      <c r="IG7" s="118"/>
      <c r="IH7" s="118"/>
      <c r="II7" s="118"/>
      <c r="IJ7" s="118"/>
      <c r="IK7" s="118"/>
      <c r="IL7" s="118"/>
      <c r="IM7" s="118"/>
      <c r="IN7" s="118"/>
      <c r="IO7" s="118"/>
      <c r="IP7" s="118"/>
      <c r="IQ7" s="118"/>
      <c r="IR7" s="118"/>
      <c r="IS7" s="118"/>
    </row>
    <row r="8" spans="1:253" ht="12">
      <c r="A8" s="115" t="s">
        <v>146</v>
      </c>
      <c r="B8" s="116"/>
      <c r="C8" s="116"/>
      <c r="D8" s="119"/>
      <c r="E8" s="122">
        <v>0</v>
      </c>
      <c r="F8" s="113"/>
      <c r="G8" s="114"/>
      <c r="H8" s="112"/>
      <c r="I8" s="113"/>
      <c r="J8" s="114"/>
      <c r="K8" s="112"/>
      <c r="L8" s="113"/>
      <c r="M8" s="114"/>
      <c r="N8" s="112"/>
      <c r="O8" s="113"/>
      <c r="P8" s="114"/>
      <c r="Q8" s="118"/>
      <c r="R8" s="118"/>
      <c r="S8" s="118"/>
      <c r="T8" s="118"/>
      <c r="U8" s="118"/>
      <c r="V8" s="118"/>
      <c r="W8" s="118"/>
      <c r="X8" s="118"/>
      <c r="Y8" s="118"/>
      <c r="Z8" s="118"/>
      <c r="AA8" s="118"/>
      <c r="AB8" s="118"/>
      <c r="AC8" s="118"/>
      <c r="AD8" s="118"/>
      <c r="AE8" s="118"/>
      <c r="AF8" s="118"/>
      <c r="AG8" s="118"/>
      <c r="AH8" s="118"/>
      <c r="AI8" s="118"/>
      <c r="AJ8" s="118"/>
      <c r="AK8" s="118"/>
      <c r="AL8" s="118"/>
      <c r="AM8" s="118"/>
      <c r="AN8" s="118"/>
      <c r="AO8" s="118"/>
      <c r="AP8" s="118"/>
      <c r="AQ8" s="118"/>
      <c r="AR8" s="118"/>
      <c r="AS8" s="118"/>
      <c r="AT8" s="118"/>
      <c r="AU8" s="118"/>
      <c r="AV8" s="118"/>
      <c r="AW8" s="118"/>
      <c r="AX8" s="118"/>
      <c r="AY8" s="118"/>
      <c r="AZ8" s="118"/>
      <c r="BA8" s="118"/>
      <c r="BB8" s="118"/>
      <c r="BC8" s="118"/>
      <c r="BD8" s="118"/>
      <c r="BE8" s="118"/>
      <c r="BF8" s="118"/>
      <c r="BG8" s="118"/>
      <c r="BH8" s="118"/>
      <c r="BI8" s="118"/>
      <c r="BJ8" s="118"/>
      <c r="BK8" s="118"/>
      <c r="BL8" s="118"/>
      <c r="BM8" s="118"/>
      <c r="BN8" s="118"/>
      <c r="BO8" s="118"/>
      <c r="BP8" s="118"/>
      <c r="BQ8" s="118"/>
      <c r="BR8" s="118"/>
      <c r="BS8" s="118"/>
      <c r="BT8" s="118"/>
      <c r="BU8" s="118"/>
      <c r="BV8" s="118"/>
      <c r="BW8" s="118"/>
      <c r="BX8" s="118"/>
      <c r="BY8" s="118"/>
      <c r="BZ8" s="118"/>
      <c r="CA8" s="118"/>
      <c r="CB8" s="118"/>
      <c r="CC8" s="118"/>
      <c r="CD8" s="118"/>
      <c r="CE8" s="118"/>
      <c r="CF8" s="118"/>
      <c r="CG8" s="118"/>
      <c r="CH8" s="118"/>
      <c r="CI8" s="118"/>
      <c r="CJ8" s="118"/>
      <c r="CK8" s="118"/>
      <c r="CL8" s="118"/>
      <c r="CM8" s="118"/>
      <c r="CN8" s="118"/>
      <c r="CO8" s="118"/>
      <c r="CP8" s="118"/>
      <c r="CQ8" s="118"/>
      <c r="CR8" s="118"/>
      <c r="CS8" s="118"/>
      <c r="CT8" s="118"/>
      <c r="CU8" s="118"/>
      <c r="CV8" s="118"/>
      <c r="CW8" s="118"/>
      <c r="CX8" s="118"/>
      <c r="CY8" s="118"/>
      <c r="CZ8" s="118"/>
      <c r="DA8" s="118"/>
      <c r="DB8" s="118"/>
      <c r="DC8" s="118"/>
      <c r="DD8" s="118"/>
      <c r="DE8" s="118"/>
      <c r="DF8" s="118"/>
      <c r="DG8" s="118"/>
      <c r="DH8" s="118"/>
      <c r="DI8" s="118"/>
      <c r="DJ8" s="118"/>
      <c r="DK8" s="118"/>
      <c r="DL8" s="118"/>
      <c r="DM8" s="118"/>
      <c r="DN8" s="118"/>
      <c r="DO8" s="118"/>
      <c r="DP8" s="118"/>
      <c r="DQ8" s="118"/>
      <c r="DR8" s="118"/>
      <c r="DS8" s="118"/>
      <c r="DT8" s="118"/>
      <c r="DU8" s="118"/>
      <c r="DV8" s="118"/>
      <c r="DW8" s="118"/>
      <c r="DX8" s="118"/>
      <c r="DY8" s="118"/>
      <c r="DZ8" s="118"/>
      <c r="EA8" s="118"/>
      <c r="EB8" s="118"/>
      <c r="EC8" s="118"/>
      <c r="ED8" s="118"/>
      <c r="EE8" s="118"/>
      <c r="EF8" s="118"/>
      <c r="EG8" s="118"/>
      <c r="EH8" s="118"/>
      <c r="EI8" s="118"/>
      <c r="EJ8" s="118"/>
      <c r="EK8" s="118"/>
      <c r="EL8" s="118"/>
      <c r="EM8" s="118"/>
      <c r="EN8" s="118"/>
      <c r="EO8" s="118"/>
      <c r="EP8" s="118"/>
      <c r="EQ8" s="118"/>
      <c r="ER8" s="118"/>
      <c r="ES8" s="118"/>
      <c r="ET8" s="118"/>
      <c r="EU8" s="118"/>
      <c r="EV8" s="118"/>
      <c r="EW8" s="118"/>
      <c r="EX8" s="118"/>
      <c r="EY8" s="118"/>
      <c r="EZ8" s="118"/>
      <c r="FA8" s="118"/>
      <c r="FB8" s="118"/>
      <c r="FC8" s="118"/>
      <c r="FD8" s="118"/>
      <c r="FE8" s="118"/>
      <c r="FF8" s="118"/>
      <c r="FG8" s="118"/>
      <c r="FH8" s="118"/>
      <c r="FI8" s="118"/>
      <c r="FJ8" s="118"/>
      <c r="FK8" s="118"/>
      <c r="FL8" s="118"/>
      <c r="FM8" s="118"/>
      <c r="FN8" s="118"/>
      <c r="FO8" s="118"/>
      <c r="FP8" s="118"/>
      <c r="FQ8" s="118"/>
      <c r="FR8" s="118"/>
      <c r="FS8" s="118"/>
      <c r="FT8" s="118"/>
      <c r="FU8" s="118"/>
      <c r="FV8" s="118"/>
      <c r="FW8" s="118"/>
      <c r="FX8" s="118"/>
      <c r="FY8" s="118"/>
      <c r="FZ8" s="118"/>
      <c r="GA8" s="118"/>
      <c r="GB8" s="118"/>
      <c r="GC8" s="118"/>
      <c r="GD8" s="118"/>
      <c r="GE8" s="118"/>
      <c r="GF8" s="118"/>
      <c r="GG8" s="118"/>
      <c r="GH8" s="118"/>
      <c r="GI8" s="118"/>
      <c r="GJ8" s="118"/>
      <c r="GK8" s="118"/>
      <c r="GL8" s="118"/>
      <c r="GM8" s="118"/>
      <c r="GN8" s="118"/>
      <c r="GO8" s="118"/>
      <c r="GP8" s="118"/>
      <c r="GQ8" s="118"/>
      <c r="GR8" s="118"/>
      <c r="GS8" s="118"/>
      <c r="GT8" s="118"/>
      <c r="GU8" s="118"/>
      <c r="GV8" s="118"/>
      <c r="GW8" s="118"/>
      <c r="GX8" s="118"/>
      <c r="GY8" s="118"/>
      <c r="GZ8" s="118"/>
      <c r="HA8" s="118"/>
      <c r="HB8" s="118"/>
      <c r="HC8" s="118"/>
      <c r="HD8" s="118"/>
      <c r="HE8" s="118"/>
      <c r="HF8" s="118"/>
      <c r="HG8" s="118"/>
      <c r="HH8" s="118"/>
      <c r="HI8" s="118"/>
      <c r="HJ8" s="118"/>
      <c r="HK8" s="118"/>
      <c r="HL8" s="118"/>
      <c r="HM8" s="118"/>
      <c r="HN8" s="118"/>
      <c r="HO8" s="118"/>
      <c r="HP8" s="118"/>
      <c r="HQ8" s="118"/>
      <c r="HR8" s="118"/>
      <c r="HS8" s="118"/>
      <c r="HT8" s="118"/>
      <c r="HU8" s="118"/>
      <c r="HV8" s="118"/>
      <c r="HW8" s="118"/>
      <c r="HX8" s="118"/>
      <c r="HY8" s="118"/>
      <c r="HZ8" s="118"/>
      <c r="IA8" s="118"/>
      <c r="IB8" s="118"/>
      <c r="IC8" s="118"/>
      <c r="ID8" s="118"/>
      <c r="IE8" s="118"/>
      <c r="IF8" s="118"/>
      <c r="IG8" s="118"/>
      <c r="IH8" s="118"/>
      <c r="II8" s="118"/>
      <c r="IJ8" s="118"/>
      <c r="IK8" s="118"/>
      <c r="IL8" s="118"/>
      <c r="IM8" s="118"/>
      <c r="IN8" s="118"/>
      <c r="IO8" s="118"/>
      <c r="IP8" s="118"/>
      <c r="IQ8" s="118"/>
      <c r="IR8" s="118"/>
      <c r="IS8" s="118"/>
    </row>
    <row r="9" spans="1:253" ht="12">
      <c r="A9" s="115" t="s">
        <v>140</v>
      </c>
      <c r="B9" s="116"/>
      <c r="C9" s="116"/>
      <c r="D9" s="119"/>
      <c r="E9" s="122" t="s">
        <v>32</v>
      </c>
      <c r="F9" s="113"/>
      <c r="G9" s="114"/>
      <c r="H9" s="112"/>
      <c r="I9" s="113"/>
      <c r="J9" s="114"/>
      <c r="K9" s="112"/>
      <c r="L9" s="113"/>
      <c r="M9" s="114"/>
      <c r="N9" s="112"/>
      <c r="O9" s="113"/>
      <c r="P9" s="114"/>
      <c r="Q9" s="118"/>
      <c r="R9" s="118"/>
      <c r="S9" s="118"/>
      <c r="T9" s="118"/>
      <c r="U9" s="118"/>
      <c r="V9" s="118"/>
      <c r="W9" s="118"/>
      <c r="X9" s="118"/>
      <c r="Y9" s="118"/>
      <c r="Z9" s="118"/>
      <c r="AA9" s="118"/>
      <c r="AB9" s="118"/>
      <c r="AC9" s="118"/>
      <c r="AD9" s="118"/>
      <c r="AE9" s="118"/>
      <c r="AF9" s="118"/>
      <c r="AG9" s="118"/>
      <c r="AH9" s="118"/>
      <c r="AI9" s="118"/>
      <c r="AJ9" s="118"/>
      <c r="AK9" s="118"/>
      <c r="AL9" s="118"/>
      <c r="AM9" s="118"/>
      <c r="AN9" s="118"/>
      <c r="AO9" s="118"/>
      <c r="AP9" s="118"/>
      <c r="AQ9" s="118"/>
      <c r="AR9" s="118"/>
      <c r="AS9" s="118"/>
      <c r="AT9" s="118"/>
      <c r="AU9" s="118"/>
      <c r="AV9" s="118"/>
      <c r="AW9" s="118"/>
      <c r="AX9" s="118"/>
      <c r="AY9" s="118"/>
      <c r="AZ9" s="118"/>
      <c r="BA9" s="118"/>
      <c r="BB9" s="118"/>
      <c r="BC9" s="118"/>
      <c r="BD9" s="118"/>
      <c r="BE9" s="118"/>
      <c r="BF9" s="118"/>
      <c r="BG9" s="118"/>
      <c r="BH9" s="118"/>
      <c r="BI9" s="118"/>
      <c r="BJ9" s="118"/>
      <c r="BK9" s="118"/>
      <c r="BL9" s="118"/>
      <c r="BM9" s="118"/>
      <c r="BN9" s="118"/>
      <c r="BO9" s="118"/>
      <c r="BP9" s="118"/>
      <c r="BQ9" s="118"/>
      <c r="BR9" s="118"/>
      <c r="BS9" s="118"/>
      <c r="BT9" s="118"/>
      <c r="BU9" s="118"/>
      <c r="BV9" s="118"/>
      <c r="BW9" s="118"/>
      <c r="BX9" s="118"/>
      <c r="BY9" s="118"/>
      <c r="BZ9" s="118"/>
      <c r="CA9" s="118"/>
      <c r="CB9" s="118"/>
      <c r="CC9" s="118"/>
      <c r="CD9" s="118"/>
      <c r="CE9" s="118"/>
      <c r="CF9" s="118"/>
      <c r="CG9" s="118"/>
      <c r="CH9" s="118"/>
      <c r="CI9" s="118"/>
      <c r="CJ9" s="118"/>
      <c r="CK9" s="118"/>
      <c r="CL9" s="118"/>
      <c r="CM9" s="118"/>
      <c r="CN9" s="118"/>
      <c r="CO9" s="118"/>
      <c r="CP9" s="118"/>
      <c r="CQ9" s="118"/>
      <c r="CR9" s="118"/>
      <c r="CS9" s="118"/>
      <c r="CT9" s="118"/>
      <c r="CU9" s="118"/>
      <c r="CV9" s="118"/>
      <c r="CW9" s="118"/>
      <c r="CX9" s="118"/>
      <c r="CY9" s="118"/>
      <c r="CZ9" s="118"/>
      <c r="DA9" s="118"/>
      <c r="DB9" s="118"/>
      <c r="DC9" s="118"/>
      <c r="DD9" s="118"/>
      <c r="DE9" s="118"/>
      <c r="DF9" s="118"/>
      <c r="DG9" s="118"/>
      <c r="DH9" s="118"/>
      <c r="DI9" s="118"/>
      <c r="DJ9" s="118"/>
      <c r="DK9" s="118"/>
      <c r="DL9" s="118"/>
      <c r="DM9" s="118"/>
      <c r="DN9" s="118"/>
      <c r="DO9" s="118"/>
      <c r="DP9" s="118"/>
      <c r="DQ9" s="118"/>
      <c r="DR9" s="118"/>
      <c r="DS9" s="118"/>
      <c r="DT9" s="118"/>
      <c r="DU9" s="118"/>
      <c r="DV9" s="118"/>
      <c r="DW9" s="118"/>
      <c r="DX9" s="118"/>
      <c r="DY9" s="118"/>
      <c r="DZ9" s="118"/>
      <c r="EA9" s="118"/>
      <c r="EB9" s="118"/>
      <c r="EC9" s="118"/>
      <c r="ED9" s="118"/>
      <c r="EE9" s="118"/>
      <c r="EF9" s="118"/>
      <c r="EG9" s="118"/>
      <c r="EH9" s="118"/>
      <c r="EI9" s="118"/>
      <c r="EJ9" s="118"/>
      <c r="EK9" s="118"/>
      <c r="EL9" s="118"/>
      <c r="EM9" s="118"/>
      <c r="EN9" s="118"/>
      <c r="EO9" s="118"/>
      <c r="EP9" s="118"/>
      <c r="EQ9" s="118"/>
      <c r="ER9" s="118"/>
      <c r="ES9" s="118"/>
      <c r="ET9" s="118"/>
      <c r="EU9" s="118"/>
      <c r="EV9" s="118"/>
      <c r="EW9" s="118"/>
      <c r="EX9" s="118"/>
      <c r="EY9" s="118"/>
      <c r="EZ9" s="118"/>
      <c r="FA9" s="118"/>
      <c r="FB9" s="118"/>
      <c r="FC9" s="118"/>
      <c r="FD9" s="118"/>
      <c r="FE9" s="118"/>
      <c r="FF9" s="118"/>
      <c r="FG9" s="118"/>
      <c r="FH9" s="118"/>
      <c r="FI9" s="118"/>
      <c r="FJ9" s="118"/>
      <c r="FK9" s="118"/>
      <c r="FL9" s="118"/>
      <c r="FM9" s="118"/>
      <c r="FN9" s="118"/>
      <c r="FO9" s="118"/>
      <c r="FP9" s="118"/>
      <c r="FQ9" s="118"/>
      <c r="FR9" s="118"/>
      <c r="FS9" s="118"/>
      <c r="FT9" s="118"/>
      <c r="FU9" s="118"/>
      <c r="FV9" s="118"/>
      <c r="FW9" s="118"/>
      <c r="FX9" s="118"/>
      <c r="FY9" s="118"/>
      <c r="FZ9" s="118"/>
      <c r="GA9" s="118"/>
      <c r="GB9" s="118"/>
      <c r="GC9" s="118"/>
      <c r="GD9" s="118"/>
      <c r="GE9" s="118"/>
      <c r="GF9" s="118"/>
      <c r="GG9" s="118"/>
      <c r="GH9" s="118"/>
      <c r="GI9" s="118"/>
      <c r="GJ9" s="118"/>
      <c r="GK9" s="118"/>
      <c r="GL9" s="118"/>
      <c r="GM9" s="118"/>
      <c r="GN9" s="118"/>
      <c r="GO9" s="118"/>
      <c r="GP9" s="118"/>
      <c r="GQ9" s="118"/>
      <c r="GR9" s="118"/>
      <c r="GS9" s="118"/>
      <c r="GT9" s="118"/>
      <c r="GU9" s="118"/>
      <c r="GV9" s="118"/>
      <c r="GW9" s="118"/>
      <c r="GX9" s="118"/>
      <c r="GY9" s="118"/>
      <c r="GZ9" s="118"/>
      <c r="HA9" s="118"/>
      <c r="HB9" s="118"/>
      <c r="HC9" s="118"/>
      <c r="HD9" s="118"/>
      <c r="HE9" s="118"/>
      <c r="HF9" s="118"/>
      <c r="HG9" s="118"/>
      <c r="HH9" s="118"/>
      <c r="HI9" s="118"/>
      <c r="HJ9" s="118"/>
      <c r="HK9" s="118"/>
      <c r="HL9" s="118"/>
      <c r="HM9" s="118"/>
      <c r="HN9" s="118"/>
      <c r="HO9" s="118"/>
      <c r="HP9" s="118"/>
      <c r="HQ9" s="118"/>
      <c r="HR9" s="118"/>
      <c r="HS9" s="118"/>
      <c r="HT9" s="118"/>
      <c r="HU9" s="118"/>
      <c r="HV9" s="118"/>
      <c r="HW9" s="118"/>
      <c r="HX9" s="118"/>
      <c r="HY9" s="118"/>
      <c r="HZ9" s="118"/>
      <c r="IA9" s="118"/>
      <c r="IB9" s="118"/>
      <c r="IC9" s="118"/>
      <c r="ID9" s="118"/>
      <c r="IE9" s="118"/>
      <c r="IF9" s="118"/>
      <c r="IG9" s="118"/>
      <c r="IH9" s="118"/>
      <c r="II9" s="118"/>
      <c r="IJ9" s="118"/>
      <c r="IK9" s="118"/>
      <c r="IL9" s="118"/>
      <c r="IM9" s="118"/>
      <c r="IN9" s="118"/>
      <c r="IO9" s="118"/>
      <c r="IP9" s="118"/>
      <c r="IQ9" s="118"/>
      <c r="IR9" s="118"/>
      <c r="IS9" s="118"/>
    </row>
    <row r="10" spans="1:253" ht="12">
      <c r="A10" s="115" t="s">
        <v>141</v>
      </c>
      <c r="B10" s="116"/>
      <c r="C10" s="116"/>
      <c r="D10" s="119"/>
      <c r="E10" s="122" t="s">
        <v>33</v>
      </c>
      <c r="F10" s="113"/>
      <c r="G10" s="114"/>
      <c r="H10" s="112"/>
      <c r="I10" s="113"/>
      <c r="J10" s="114"/>
      <c r="K10" s="112"/>
      <c r="L10" s="113"/>
      <c r="M10" s="114"/>
      <c r="N10" s="112"/>
      <c r="O10" s="113"/>
      <c r="P10" s="114"/>
      <c r="Q10" s="118"/>
      <c r="R10" s="118"/>
      <c r="S10" s="118"/>
      <c r="T10" s="118"/>
      <c r="U10" s="118"/>
      <c r="V10" s="118"/>
      <c r="W10" s="118"/>
      <c r="X10" s="118"/>
      <c r="Y10" s="118"/>
      <c r="Z10" s="118"/>
      <c r="AA10" s="118"/>
      <c r="AB10" s="118"/>
      <c r="AC10" s="118"/>
      <c r="AD10" s="118"/>
      <c r="AE10" s="118"/>
      <c r="AF10" s="118"/>
      <c r="AG10" s="118"/>
      <c r="AH10" s="118"/>
      <c r="AI10" s="118"/>
      <c r="AJ10" s="118"/>
      <c r="AK10" s="118"/>
      <c r="AL10" s="118"/>
      <c r="AM10" s="118"/>
      <c r="AN10" s="118"/>
      <c r="AO10" s="118"/>
      <c r="AP10" s="118"/>
      <c r="AQ10" s="118"/>
      <c r="AR10" s="118"/>
      <c r="AS10" s="118"/>
      <c r="AT10" s="118"/>
      <c r="AU10" s="118"/>
      <c r="AV10" s="118"/>
      <c r="AW10" s="118"/>
      <c r="AX10" s="118"/>
      <c r="AY10" s="118"/>
      <c r="AZ10" s="118"/>
      <c r="BA10" s="118"/>
      <c r="BB10" s="118"/>
      <c r="BC10" s="118"/>
      <c r="BD10" s="118"/>
      <c r="BE10" s="118"/>
      <c r="BF10" s="118"/>
      <c r="BG10" s="118"/>
      <c r="BH10" s="118"/>
      <c r="BI10" s="118"/>
      <c r="BJ10" s="118"/>
      <c r="BK10" s="118"/>
      <c r="BL10" s="118"/>
      <c r="BM10" s="118"/>
      <c r="BN10" s="118"/>
      <c r="BO10" s="118"/>
      <c r="BP10" s="118"/>
      <c r="BQ10" s="118"/>
      <c r="BR10" s="118"/>
      <c r="BS10" s="118"/>
      <c r="BT10" s="118"/>
      <c r="BU10" s="118"/>
      <c r="BV10" s="118"/>
      <c r="BW10" s="118"/>
      <c r="BX10" s="118"/>
      <c r="BY10" s="118"/>
      <c r="BZ10" s="118"/>
      <c r="CA10" s="118"/>
      <c r="CB10" s="118"/>
      <c r="CC10" s="118"/>
      <c r="CD10" s="118"/>
      <c r="CE10" s="118"/>
      <c r="CF10" s="118"/>
      <c r="CG10" s="118"/>
      <c r="CH10" s="118"/>
      <c r="CI10" s="118"/>
      <c r="CJ10" s="118"/>
      <c r="CK10" s="118"/>
      <c r="CL10" s="118"/>
      <c r="CM10" s="118"/>
      <c r="CN10" s="118"/>
      <c r="CO10" s="118"/>
      <c r="CP10" s="118"/>
      <c r="CQ10" s="118"/>
      <c r="CR10" s="118"/>
      <c r="CS10" s="118"/>
      <c r="CT10" s="118"/>
      <c r="CU10" s="118"/>
      <c r="CV10" s="118"/>
      <c r="CW10" s="118"/>
      <c r="CX10" s="118"/>
      <c r="CY10" s="118"/>
      <c r="CZ10" s="118"/>
      <c r="DA10" s="118"/>
      <c r="DB10" s="118"/>
      <c r="DC10" s="118"/>
      <c r="DD10" s="118"/>
      <c r="DE10" s="118"/>
      <c r="DF10" s="118"/>
      <c r="DG10" s="118"/>
      <c r="DH10" s="118"/>
      <c r="DI10" s="118"/>
      <c r="DJ10" s="118"/>
      <c r="DK10" s="118"/>
      <c r="DL10" s="118"/>
      <c r="DM10" s="118"/>
      <c r="DN10" s="118"/>
      <c r="DO10" s="118"/>
      <c r="DP10" s="118"/>
      <c r="DQ10" s="118"/>
      <c r="DR10" s="118"/>
      <c r="DS10" s="118"/>
      <c r="DT10" s="118"/>
      <c r="DU10" s="118"/>
      <c r="DV10" s="118"/>
      <c r="DW10" s="118"/>
      <c r="DX10" s="118"/>
      <c r="DY10" s="118"/>
      <c r="DZ10" s="118"/>
      <c r="EA10" s="118"/>
      <c r="EB10" s="118"/>
      <c r="EC10" s="118"/>
      <c r="ED10" s="118"/>
      <c r="EE10" s="118"/>
      <c r="EF10" s="118"/>
      <c r="EG10" s="118"/>
      <c r="EH10" s="118"/>
      <c r="EI10" s="118"/>
      <c r="EJ10" s="118"/>
      <c r="EK10" s="118"/>
      <c r="EL10" s="118"/>
      <c r="EM10" s="118"/>
      <c r="EN10" s="118"/>
      <c r="EO10" s="118"/>
      <c r="EP10" s="118"/>
      <c r="EQ10" s="118"/>
      <c r="ER10" s="118"/>
      <c r="ES10" s="118"/>
      <c r="ET10" s="118"/>
      <c r="EU10" s="118"/>
      <c r="EV10" s="118"/>
      <c r="EW10" s="118"/>
      <c r="EX10" s="118"/>
      <c r="EY10" s="118"/>
      <c r="EZ10" s="118"/>
      <c r="FA10" s="118"/>
      <c r="FB10" s="118"/>
      <c r="FC10" s="118"/>
      <c r="FD10" s="118"/>
      <c r="FE10" s="118"/>
      <c r="FF10" s="118"/>
      <c r="FG10" s="118"/>
      <c r="FH10" s="118"/>
      <c r="FI10" s="118"/>
      <c r="FJ10" s="118"/>
      <c r="FK10" s="118"/>
      <c r="FL10" s="118"/>
      <c r="FM10" s="118"/>
      <c r="FN10" s="118"/>
      <c r="FO10" s="118"/>
      <c r="FP10" s="118"/>
      <c r="FQ10" s="118"/>
      <c r="FR10" s="118"/>
      <c r="FS10" s="118"/>
      <c r="FT10" s="118"/>
      <c r="FU10" s="118"/>
      <c r="FV10" s="118"/>
      <c r="FW10" s="118"/>
      <c r="FX10" s="118"/>
      <c r="FY10" s="118"/>
      <c r="FZ10" s="118"/>
      <c r="GA10" s="118"/>
      <c r="GB10" s="118"/>
      <c r="GC10" s="118"/>
      <c r="GD10" s="118"/>
      <c r="GE10" s="118"/>
      <c r="GF10" s="118"/>
      <c r="GG10" s="118"/>
      <c r="GH10" s="118"/>
      <c r="GI10" s="118"/>
      <c r="GJ10" s="118"/>
      <c r="GK10" s="118"/>
      <c r="GL10" s="118"/>
      <c r="GM10" s="118"/>
      <c r="GN10" s="118"/>
      <c r="GO10" s="118"/>
      <c r="GP10" s="118"/>
      <c r="GQ10" s="118"/>
      <c r="GR10" s="118"/>
      <c r="GS10" s="118"/>
      <c r="GT10" s="118"/>
      <c r="GU10" s="118"/>
      <c r="GV10" s="118"/>
      <c r="GW10" s="118"/>
      <c r="GX10" s="118"/>
      <c r="GY10" s="118"/>
      <c r="GZ10" s="118"/>
      <c r="HA10" s="118"/>
      <c r="HB10" s="118"/>
      <c r="HC10" s="118"/>
      <c r="HD10" s="118"/>
      <c r="HE10" s="118"/>
      <c r="HF10" s="118"/>
      <c r="HG10" s="118"/>
      <c r="HH10" s="118"/>
      <c r="HI10" s="118"/>
      <c r="HJ10" s="118"/>
      <c r="HK10" s="118"/>
      <c r="HL10" s="118"/>
      <c r="HM10" s="118"/>
      <c r="HN10" s="118"/>
      <c r="HO10" s="118"/>
      <c r="HP10" s="118"/>
      <c r="HQ10" s="118"/>
      <c r="HR10" s="118"/>
      <c r="HS10" s="118"/>
      <c r="HT10" s="118"/>
      <c r="HU10" s="118"/>
      <c r="HV10" s="118"/>
      <c r="HW10" s="118"/>
      <c r="HX10" s="118"/>
      <c r="HY10" s="118"/>
      <c r="HZ10" s="118"/>
      <c r="IA10" s="118"/>
      <c r="IB10" s="118"/>
      <c r="IC10" s="118"/>
      <c r="ID10" s="118"/>
      <c r="IE10" s="118"/>
      <c r="IF10" s="118"/>
      <c r="IG10" s="118"/>
      <c r="IH10" s="118"/>
      <c r="II10" s="118"/>
      <c r="IJ10" s="118"/>
      <c r="IK10" s="118"/>
      <c r="IL10" s="118"/>
      <c r="IM10" s="118"/>
      <c r="IN10" s="118"/>
      <c r="IO10" s="118"/>
      <c r="IP10" s="118"/>
      <c r="IQ10" s="118"/>
      <c r="IR10" s="118"/>
      <c r="IS10" s="118"/>
    </row>
    <row r="11" spans="1:253" ht="12">
      <c r="A11" s="115" t="s">
        <v>142</v>
      </c>
      <c r="B11" s="116"/>
      <c r="C11" s="116"/>
      <c r="D11" s="119"/>
      <c r="E11" s="122" t="s">
        <v>35</v>
      </c>
      <c r="F11" s="113"/>
      <c r="G11" s="114"/>
      <c r="H11" s="112"/>
      <c r="I11" s="113"/>
      <c r="J11" s="114"/>
      <c r="K11" s="112"/>
      <c r="L11" s="113"/>
      <c r="M11" s="114"/>
      <c r="N11" s="112"/>
      <c r="O11" s="113"/>
      <c r="P11" s="114"/>
      <c r="Q11" s="118"/>
      <c r="R11" s="118"/>
      <c r="S11" s="118"/>
      <c r="T11" s="118"/>
      <c r="U11" s="118"/>
      <c r="V11" s="118"/>
      <c r="W11" s="118"/>
      <c r="X11" s="118"/>
      <c r="Y11" s="118"/>
      <c r="Z11" s="118"/>
      <c r="AA11" s="118"/>
      <c r="AB11" s="118"/>
      <c r="AC11" s="118"/>
      <c r="AD11" s="118"/>
      <c r="AE11" s="118"/>
      <c r="AF11" s="118"/>
      <c r="AG11" s="118"/>
      <c r="AH11" s="118"/>
      <c r="AI11" s="118"/>
      <c r="AJ11" s="118"/>
      <c r="AK11" s="118"/>
      <c r="AL11" s="118"/>
      <c r="AM11" s="118"/>
      <c r="AN11" s="118"/>
      <c r="AO11" s="118"/>
      <c r="AP11" s="118"/>
      <c r="AQ11" s="118"/>
      <c r="AR11" s="118"/>
      <c r="AS11" s="118"/>
      <c r="AT11" s="118"/>
      <c r="AU11" s="118"/>
      <c r="AV11" s="118"/>
      <c r="AW11" s="118"/>
      <c r="AX11" s="118"/>
      <c r="AY11" s="118"/>
      <c r="AZ11" s="118"/>
      <c r="BA11" s="118"/>
      <c r="BB11" s="118"/>
      <c r="BC11" s="118"/>
      <c r="BD11" s="118"/>
      <c r="BE11" s="118"/>
      <c r="BF11" s="118"/>
      <c r="BG11" s="118"/>
      <c r="BH11" s="118"/>
      <c r="BI11" s="118"/>
      <c r="BJ11" s="118"/>
      <c r="BK11" s="118"/>
      <c r="BL11" s="118"/>
      <c r="BM11" s="118"/>
      <c r="BN11" s="118"/>
      <c r="BO11" s="118"/>
      <c r="BP11" s="118"/>
      <c r="BQ11" s="118"/>
      <c r="BR11" s="118"/>
      <c r="BS11" s="118"/>
      <c r="BT11" s="118"/>
      <c r="BU11" s="118"/>
      <c r="BV11" s="118"/>
      <c r="BW11" s="118"/>
      <c r="BX11" s="118"/>
      <c r="BY11" s="118"/>
      <c r="BZ11" s="118"/>
      <c r="CA11" s="118"/>
      <c r="CB11" s="118"/>
      <c r="CC11" s="118"/>
      <c r="CD11" s="118"/>
      <c r="CE11" s="118"/>
      <c r="CF11" s="118"/>
      <c r="CG11" s="118"/>
      <c r="CH11" s="118"/>
      <c r="CI11" s="118"/>
      <c r="CJ11" s="118"/>
      <c r="CK11" s="118"/>
      <c r="CL11" s="118"/>
      <c r="CM11" s="118"/>
      <c r="CN11" s="118"/>
      <c r="CO11" s="118"/>
      <c r="CP11" s="118"/>
      <c r="CQ11" s="118"/>
      <c r="CR11" s="118"/>
      <c r="CS11" s="118"/>
      <c r="CT11" s="118"/>
      <c r="CU11" s="118"/>
      <c r="CV11" s="118"/>
      <c r="CW11" s="118"/>
      <c r="CX11" s="118"/>
      <c r="CY11" s="118"/>
      <c r="CZ11" s="118"/>
      <c r="DA11" s="118"/>
      <c r="DB11" s="118"/>
      <c r="DC11" s="118"/>
      <c r="DD11" s="118"/>
      <c r="DE11" s="118"/>
      <c r="DF11" s="118"/>
      <c r="DG11" s="118"/>
      <c r="DH11" s="118"/>
      <c r="DI11" s="118"/>
      <c r="DJ11" s="118"/>
      <c r="DK11" s="118"/>
      <c r="DL11" s="118"/>
      <c r="DM11" s="118"/>
      <c r="DN11" s="118"/>
      <c r="DO11" s="118"/>
      <c r="DP11" s="118"/>
      <c r="DQ11" s="118"/>
      <c r="DR11" s="118"/>
      <c r="DS11" s="118"/>
      <c r="DT11" s="118"/>
      <c r="DU11" s="118"/>
      <c r="DV11" s="118"/>
      <c r="DW11" s="118"/>
      <c r="DX11" s="118"/>
      <c r="DY11" s="118"/>
      <c r="DZ11" s="118"/>
      <c r="EA11" s="118"/>
      <c r="EB11" s="118"/>
      <c r="EC11" s="118"/>
      <c r="ED11" s="118"/>
      <c r="EE11" s="118"/>
      <c r="EF11" s="118"/>
      <c r="EG11" s="118"/>
      <c r="EH11" s="118"/>
      <c r="EI11" s="118"/>
      <c r="EJ11" s="118"/>
      <c r="EK11" s="118"/>
      <c r="EL11" s="118"/>
      <c r="EM11" s="118"/>
      <c r="EN11" s="118"/>
      <c r="EO11" s="118"/>
      <c r="EP11" s="118"/>
      <c r="EQ11" s="118"/>
      <c r="ER11" s="118"/>
      <c r="ES11" s="118"/>
      <c r="ET11" s="118"/>
      <c r="EU11" s="118"/>
      <c r="EV11" s="118"/>
      <c r="EW11" s="118"/>
      <c r="EX11" s="118"/>
      <c r="EY11" s="118"/>
      <c r="EZ11" s="118"/>
      <c r="FA11" s="118"/>
      <c r="FB11" s="118"/>
      <c r="FC11" s="118"/>
      <c r="FD11" s="118"/>
      <c r="FE11" s="118"/>
      <c r="FF11" s="118"/>
      <c r="FG11" s="118"/>
      <c r="FH11" s="118"/>
      <c r="FI11" s="118"/>
      <c r="FJ11" s="118"/>
      <c r="FK11" s="118"/>
      <c r="FL11" s="118"/>
      <c r="FM11" s="118"/>
      <c r="FN11" s="118"/>
      <c r="FO11" s="118"/>
      <c r="FP11" s="118"/>
      <c r="FQ11" s="118"/>
      <c r="FR11" s="118"/>
      <c r="FS11" s="118"/>
      <c r="FT11" s="118"/>
      <c r="FU11" s="118"/>
      <c r="FV11" s="118"/>
      <c r="FW11" s="118"/>
      <c r="FX11" s="118"/>
      <c r="FY11" s="118"/>
      <c r="FZ11" s="118"/>
      <c r="GA11" s="118"/>
      <c r="GB11" s="118"/>
      <c r="GC11" s="118"/>
      <c r="GD11" s="118"/>
      <c r="GE11" s="118"/>
      <c r="GF11" s="118"/>
      <c r="GG11" s="118"/>
      <c r="GH11" s="118"/>
      <c r="GI11" s="118"/>
      <c r="GJ11" s="118"/>
      <c r="GK11" s="118"/>
      <c r="GL11" s="118"/>
      <c r="GM11" s="118"/>
      <c r="GN11" s="118"/>
      <c r="GO11" s="118"/>
      <c r="GP11" s="118"/>
      <c r="GQ11" s="118"/>
      <c r="GR11" s="118"/>
      <c r="GS11" s="118"/>
      <c r="GT11" s="118"/>
      <c r="GU11" s="118"/>
      <c r="GV11" s="118"/>
      <c r="GW11" s="118"/>
      <c r="GX11" s="118"/>
      <c r="GY11" s="118"/>
      <c r="GZ11" s="118"/>
      <c r="HA11" s="118"/>
      <c r="HB11" s="118"/>
      <c r="HC11" s="118"/>
      <c r="HD11" s="118"/>
      <c r="HE11" s="118"/>
      <c r="HF11" s="118"/>
      <c r="HG11" s="118"/>
      <c r="HH11" s="118"/>
      <c r="HI11" s="118"/>
      <c r="HJ11" s="118"/>
      <c r="HK11" s="118"/>
      <c r="HL11" s="118"/>
      <c r="HM11" s="118"/>
      <c r="HN11" s="118"/>
      <c r="HO11" s="118"/>
      <c r="HP11" s="118"/>
      <c r="HQ11" s="118"/>
      <c r="HR11" s="118"/>
      <c r="HS11" s="118"/>
      <c r="HT11" s="118"/>
      <c r="HU11" s="118"/>
      <c r="HV11" s="118"/>
      <c r="HW11" s="118"/>
      <c r="HX11" s="118"/>
      <c r="HY11" s="118"/>
      <c r="HZ11" s="118"/>
      <c r="IA11" s="118"/>
      <c r="IB11" s="118"/>
      <c r="IC11" s="118"/>
      <c r="ID11" s="118"/>
      <c r="IE11" s="118"/>
      <c r="IF11" s="118"/>
      <c r="IG11" s="118"/>
      <c r="IH11" s="118"/>
      <c r="II11" s="118"/>
      <c r="IJ11" s="118"/>
      <c r="IK11" s="118"/>
      <c r="IL11" s="118"/>
      <c r="IM11" s="118"/>
      <c r="IN11" s="118"/>
      <c r="IO11" s="118"/>
      <c r="IP11" s="118"/>
      <c r="IQ11" s="118"/>
      <c r="IR11" s="118"/>
      <c r="IS11" s="118"/>
    </row>
    <row r="12" spans="1:253" ht="12">
      <c r="A12" s="115" t="s">
        <v>143</v>
      </c>
      <c r="B12" s="116"/>
      <c r="C12" s="116"/>
      <c r="D12" s="119"/>
      <c r="E12" s="122" t="s">
        <v>36</v>
      </c>
      <c r="F12" s="113"/>
      <c r="G12" s="114"/>
      <c r="H12" s="112"/>
      <c r="I12" s="113"/>
      <c r="J12" s="114"/>
      <c r="K12" s="112"/>
      <c r="L12" s="113"/>
      <c r="M12" s="114"/>
      <c r="N12" s="112"/>
      <c r="O12" s="113"/>
      <c r="P12" s="114"/>
      <c r="Q12" s="118"/>
      <c r="R12" s="118"/>
      <c r="S12" s="118"/>
      <c r="T12" s="118"/>
      <c r="U12" s="118"/>
      <c r="V12" s="118"/>
      <c r="W12" s="118"/>
      <c r="X12" s="118"/>
      <c r="Y12" s="118"/>
      <c r="Z12" s="118"/>
      <c r="AA12" s="118"/>
      <c r="AB12" s="118"/>
      <c r="AC12" s="118"/>
      <c r="AD12" s="118"/>
      <c r="AE12" s="118"/>
      <c r="AF12" s="118"/>
      <c r="AG12" s="118"/>
      <c r="AH12" s="118"/>
      <c r="AI12" s="118"/>
      <c r="AJ12" s="118"/>
      <c r="AK12" s="118"/>
      <c r="AL12" s="118"/>
      <c r="AM12" s="118"/>
      <c r="AN12" s="118"/>
      <c r="AO12" s="118"/>
      <c r="AP12" s="118"/>
      <c r="AQ12" s="118"/>
      <c r="AR12" s="118"/>
      <c r="AS12" s="118"/>
      <c r="AT12" s="118"/>
      <c r="AU12" s="118"/>
      <c r="AV12" s="118"/>
      <c r="AW12" s="118"/>
      <c r="AX12" s="118"/>
      <c r="AY12" s="118"/>
      <c r="AZ12" s="118"/>
      <c r="BA12" s="118"/>
      <c r="BB12" s="118"/>
      <c r="BC12" s="118"/>
      <c r="BD12" s="118"/>
      <c r="BE12" s="118"/>
      <c r="BF12" s="118"/>
      <c r="BG12" s="118"/>
      <c r="BH12" s="118"/>
      <c r="BI12" s="118"/>
      <c r="BJ12" s="118"/>
      <c r="BK12" s="118"/>
      <c r="BL12" s="118"/>
      <c r="BM12" s="118"/>
      <c r="BN12" s="118"/>
      <c r="BO12" s="118"/>
      <c r="BP12" s="118"/>
      <c r="BQ12" s="118"/>
      <c r="BR12" s="118"/>
      <c r="BS12" s="118"/>
      <c r="BT12" s="118"/>
      <c r="BU12" s="118"/>
      <c r="BV12" s="118"/>
      <c r="BW12" s="118"/>
      <c r="BX12" s="118"/>
      <c r="BY12" s="118"/>
      <c r="BZ12" s="118"/>
      <c r="CA12" s="118"/>
      <c r="CB12" s="118"/>
      <c r="CC12" s="118"/>
      <c r="CD12" s="118"/>
      <c r="CE12" s="118"/>
      <c r="CF12" s="118"/>
      <c r="CG12" s="118"/>
      <c r="CH12" s="118"/>
      <c r="CI12" s="118"/>
      <c r="CJ12" s="118"/>
      <c r="CK12" s="118"/>
      <c r="CL12" s="118"/>
      <c r="CM12" s="118"/>
      <c r="CN12" s="118"/>
      <c r="CO12" s="118"/>
      <c r="CP12" s="118"/>
      <c r="CQ12" s="118"/>
      <c r="CR12" s="118"/>
      <c r="CS12" s="118"/>
      <c r="CT12" s="118"/>
      <c r="CU12" s="118"/>
      <c r="CV12" s="118"/>
      <c r="CW12" s="118"/>
      <c r="CX12" s="118"/>
      <c r="CY12" s="118"/>
      <c r="CZ12" s="118"/>
      <c r="DA12" s="118"/>
      <c r="DB12" s="118"/>
      <c r="DC12" s="118"/>
      <c r="DD12" s="118"/>
      <c r="DE12" s="118"/>
      <c r="DF12" s="118"/>
      <c r="DG12" s="118"/>
      <c r="DH12" s="118"/>
      <c r="DI12" s="118"/>
      <c r="DJ12" s="118"/>
      <c r="DK12" s="118"/>
      <c r="DL12" s="118"/>
      <c r="DM12" s="118"/>
      <c r="DN12" s="118"/>
      <c r="DO12" s="118"/>
      <c r="DP12" s="118"/>
      <c r="DQ12" s="118"/>
      <c r="DR12" s="118"/>
      <c r="DS12" s="118"/>
      <c r="DT12" s="118"/>
      <c r="DU12" s="118"/>
      <c r="DV12" s="118"/>
      <c r="DW12" s="118"/>
      <c r="DX12" s="118"/>
      <c r="DY12" s="118"/>
      <c r="DZ12" s="118"/>
      <c r="EA12" s="118"/>
      <c r="EB12" s="118"/>
      <c r="EC12" s="118"/>
      <c r="ED12" s="118"/>
      <c r="EE12" s="118"/>
      <c r="EF12" s="118"/>
      <c r="EG12" s="118"/>
      <c r="EH12" s="118"/>
      <c r="EI12" s="118"/>
      <c r="EJ12" s="118"/>
      <c r="EK12" s="118"/>
      <c r="EL12" s="118"/>
      <c r="EM12" s="118"/>
      <c r="EN12" s="118"/>
      <c r="EO12" s="118"/>
      <c r="EP12" s="118"/>
      <c r="EQ12" s="118"/>
      <c r="ER12" s="118"/>
      <c r="ES12" s="118"/>
      <c r="ET12" s="118"/>
      <c r="EU12" s="118"/>
      <c r="EV12" s="118"/>
      <c r="EW12" s="118"/>
      <c r="EX12" s="118"/>
      <c r="EY12" s="118"/>
      <c r="EZ12" s="118"/>
      <c r="FA12" s="118"/>
      <c r="FB12" s="118"/>
      <c r="FC12" s="118"/>
      <c r="FD12" s="118"/>
      <c r="FE12" s="118"/>
      <c r="FF12" s="118"/>
      <c r="FG12" s="118"/>
      <c r="FH12" s="118"/>
      <c r="FI12" s="118"/>
      <c r="FJ12" s="118"/>
      <c r="FK12" s="118"/>
      <c r="FL12" s="118"/>
      <c r="FM12" s="118"/>
      <c r="FN12" s="118"/>
      <c r="FO12" s="118"/>
      <c r="FP12" s="118"/>
      <c r="FQ12" s="118"/>
      <c r="FR12" s="118"/>
      <c r="FS12" s="118"/>
      <c r="FT12" s="118"/>
      <c r="FU12" s="118"/>
      <c r="FV12" s="118"/>
      <c r="FW12" s="118"/>
      <c r="FX12" s="118"/>
      <c r="FY12" s="118"/>
      <c r="FZ12" s="118"/>
      <c r="GA12" s="118"/>
      <c r="GB12" s="118"/>
      <c r="GC12" s="118"/>
      <c r="GD12" s="118"/>
      <c r="GE12" s="118"/>
      <c r="GF12" s="118"/>
      <c r="GG12" s="118"/>
      <c r="GH12" s="118"/>
      <c r="GI12" s="118"/>
      <c r="GJ12" s="118"/>
      <c r="GK12" s="118"/>
      <c r="GL12" s="118"/>
      <c r="GM12" s="118"/>
      <c r="GN12" s="118"/>
      <c r="GO12" s="118"/>
      <c r="GP12" s="118"/>
      <c r="GQ12" s="118"/>
      <c r="GR12" s="118"/>
      <c r="GS12" s="118"/>
      <c r="GT12" s="118"/>
      <c r="GU12" s="118"/>
      <c r="GV12" s="118"/>
      <c r="GW12" s="118"/>
      <c r="GX12" s="118"/>
      <c r="GY12" s="118"/>
      <c r="GZ12" s="118"/>
      <c r="HA12" s="118"/>
      <c r="HB12" s="118"/>
      <c r="HC12" s="118"/>
      <c r="HD12" s="118"/>
      <c r="HE12" s="118"/>
      <c r="HF12" s="118"/>
      <c r="HG12" s="118"/>
      <c r="HH12" s="118"/>
      <c r="HI12" s="118"/>
      <c r="HJ12" s="118"/>
      <c r="HK12" s="118"/>
      <c r="HL12" s="118"/>
      <c r="HM12" s="118"/>
      <c r="HN12" s="118"/>
      <c r="HO12" s="118"/>
      <c r="HP12" s="118"/>
      <c r="HQ12" s="118"/>
      <c r="HR12" s="118"/>
      <c r="HS12" s="118"/>
      <c r="HT12" s="118"/>
      <c r="HU12" s="118"/>
      <c r="HV12" s="118"/>
      <c r="HW12" s="118"/>
      <c r="HX12" s="118"/>
      <c r="HY12" s="118"/>
      <c r="HZ12" s="118"/>
      <c r="IA12" s="118"/>
      <c r="IB12" s="118"/>
      <c r="IC12" s="118"/>
      <c r="ID12" s="118"/>
      <c r="IE12" s="118"/>
      <c r="IF12" s="118"/>
      <c r="IG12" s="118"/>
      <c r="IH12" s="118"/>
      <c r="II12" s="118"/>
      <c r="IJ12" s="118"/>
      <c r="IK12" s="118"/>
      <c r="IL12" s="118"/>
      <c r="IM12" s="118"/>
      <c r="IN12" s="118"/>
      <c r="IO12" s="118"/>
      <c r="IP12" s="118"/>
      <c r="IQ12" s="118"/>
      <c r="IR12" s="118"/>
      <c r="IS12" s="118"/>
    </row>
    <row r="13" spans="1:253" ht="12">
      <c r="A13" s="115" t="s">
        <v>144</v>
      </c>
      <c r="B13" s="116"/>
      <c r="C13" s="116"/>
      <c r="D13" s="119"/>
      <c r="E13" s="122" t="s">
        <v>48</v>
      </c>
      <c r="F13" s="113"/>
      <c r="G13" s="114"/>
      <c r="H13" s="112"/>
      <c r="I13" s="113"/>
      <c r="J13" s="114"/>
      <c r="K13" s="112"/>
      <c r="L13" s="113"/>
      <c r="M13" s="114"/>
      <c r="N13" s="112"/>
      <c r="O13" s="113"/>
      <c r="P13" s="114"/>
      <c r="Q13" s="118"/>
      <c r="R13" s="118"/>
      <c r="S13" s="118"/>
      <c r="T13" s="118"/>
      <c r="U13" s="118"/>
      <c r="V13" s="118"/>
      <c r="W13" s="118"/>
      <c r="X13" s="118"/>
      <c r="Y13" s="118"/>
      <c r="Z13" s="118"/>
      <c r="AA13" s="118"/>
      <c r="AB13" s="118"/>
      <c r="AC13" s="118"/>
      <c r="AD13" s="118"/>
      <c r="AE13" s="118"/>
      <c r="AF13" s="118"/>
      <c r="AG13" s="118"/>
      <c r="AH13" s="118"/>
      <c r="AI13" s="118"/>
      <c r="AJ13" s="118"/>
      <c r="AK13" s="118"/>
      <c r="AL13" s="118"/>
      <c r="AM13" s="118"/>
      <c r="AN13" s="118"/>
      <c r="AO13" s="118"/>
      <c r="AP13" s="118"/>
      <c r="AQ13" s="118"/>
      <c r="AR13" s="118"/>
      <c r="AS13" s="118"/>
      <c r="AT13" s="118"/>
      <c r="AU13" s="118"/>
      <c r="AV13" s="118"/>
      <c r="AW13" s="118"/>
      <c r="AX13" s="118"/>
      <c r="AY13" s="118"/>
      <c r="AZ13" s="118"/>
      <c r="BA13" s="118"/>
      <c r="BB13" s="118"/>
      <c r="BC13" s="118"/>
      <c r="BD13" s="118"/>
      <c r="BE13" s="118"/>
      <c r="BF13" s="118"/>
      <c r="BG13" s="118"/>
      <c r="BH13" s="118"/>
      <c r="BI13" s="118"/>
      <c r="BJ13" s="118"/>
      <c r="BK13" s="118"/>
      <c r="BL13" s="118"/>
      <c r="BM13" s="118"/>
      <c r="BN13" s="118"/>
      <c r="BO13" s="118"/>
      <c r="BP13" s="118"/>
      <c r="BQ13" s="118"/>
      <c r="BR13" s="118"/>
      <c r="BS13" s="118"/>
      <c r="BT13" s="118"/>
      <c r="BU13" s="118"/>
      <c r="BV13" s="118"/>
      <c r="BW13" s="118"/>
      <c r="BX13" s="118"/>
      <c r="BY13" s="118"/>
      <c r="BZ13" s="118"/>
      <c r="CA13" s="118"/>
      <c r="CB13" s="118"/>
      <c r="CC13" s="118"/>
      <c r="CD13" s="118"/>
      <c r="CE13" s="118"/>
      <c r="CF13" s="118"/>
      <c r="CG13" s="118"/>
      <c r="CH13" s="118"/>
      <c r="CI13" s="118"/>
      <c r="CJ13" s="118"/>
      <c r="CK13" s="118"/>
      <c r="CL13" s="118"/>
      <c r="CM13" s="118"/>
      <c r="CN13" s="118"/>
      <c r="CO13" s="118"/>
      <c r="CP13" s="118"/>
      <c r="CQ13" s="118"/>
      <c r="CR13" s="118"/>
      <c r="CS13" s="118"/>
      <c r="CT13" s="118"/>
      <c r="CU13" s="118"/>
      <c r="CV13" s="118"/>
      <c r="CW13" s="118"/>
      <c r="CX13" s="118"/>
      <c r="CY13" s="118"/>
      <c r="CZ13" s="118"/>
      <c r="DA13" s="118"/>
      <c r="DB13" s="118"/>
      <c r="DC13" s="118"/>
      <c r="DD13" s="118"/>
      <c r="DE13" s="118"/>
      <c r="DF13" s="118"/>
      <c r="DG13" s="118"/>
      <c r="DH13" s="118"/>
      <c r="DI13" s="118"/>
      <c r="DJ13" s="118"/>
      <c r="DK13" s="118"/>
      <c r="DL13" s="118"/>
      <c r="DM13" s="118"/>
      <c r="DN13" s="118"/>
      <c r="DO13" s="118"/>
      <c r="DP13" s="118"/>
      <c r="DQ13" s="118"/>
      <c r="DR13" s="118"/>
      <c r="DS13" s="118"/>
      <c r="DT13" s="118"/>
      <c r="DU13" s="118"/>
      <c r="DV13" s="118"/>
      <c r="DW13" s="118"/>
      <c r="DX13" s="118"/>
      <c r="DY13" s="118"/>
      <c r="DZ13" s="118"/>
      <c r="EA13" s="118"/>
      <c r="EB13" s="118"/>
      <c r="EC13" s="118"/>
      <c r="ED13" s="118"/>
      <c r="EE13" s="118"/>
      <c r="EF13" s="118"/>
      <c r="EG13" s="118"/>
      <c r="EH13" s="118"/>
      <c r="EI13" s="118"/>
      <c r="EJ13" s="118"/>
      <c r="EK13" s="118"/>
      <c r="EL13" s="118"/>
      <c r="EM13" s="118"/>
      <c r="EN13" s="118"/>
      <c r="EO13" s="118"/>
      <c r="EP13" s="118"/>
      <c r="EQ13" s="118"/>
      <c r="ER13" s="118"/>
      <c r="ES13" s="118"/>
      <c r="ET13" s="118"/>
      <c r="EU13" s="118"/>
      <c r="EV13" s="118"/>
      <c r="EW13" s="118"/>
      <c r="EX13" s="118"/>
      <c r="EY13" s="118"/>
      <c r="EZ13" s="118"/>
      <c r="FA13" s="118"/>
      <c r="FB13" s="118"/>
      <c r="FC13" s="118"/>
      <c r="FD13" s="118"/>
      <c r="FE13" s="118"/>
      <c r="FF13" s="118"/>
      <c r="FG13" s="118"/>
      <c r="FH13" s="118"/>
      <c r="FI13" s="118"/>
      <c r="FJ13" s="118"/>
      <c r="FK13" s="118"/>
      <c r="FL13" s="118"/>
      <c r="FM13" s="118"/>
      <c r="FN13" s="118"/>
      <c r="FO13" s="118"/>
      <c r="FP13" s="118"/>
      <c r="FQ13" s="118"/>
      <c r="FR13" s="118"/>
      <c r="FS13" s="118"/>
      <c r="FT13" s="118"/>
      <c r="FU13" s="118"/>
      <c r="FV13" s="118"/>
      <c r="FW13" s="118"/>
      <c r="FX13" s="118"/>
      <c r="FY13" s="118"/>
      <c r="FZ13" s="118"/>
      <c r="GA13" s="118"/>
      <c r="GB13" s="118"/>
      <c r="GC13" s="118"/>
      <c r="GD13" s="118"/>
      <c r="GE13" s="118"/>
      <c r="GF13" s="118"/>
      <c r="GG13" s="118"/>
      <c r="GH13" s="118"/>
      <c r="GI13" s="118"/>
      <c r="GJ13" s="118"/>
      <c r="GK13" s="118"/>
      <c r="GL13" s="118"/>
      <c r="GM13" s="118"/>
      <c r="GN13" s="118"/>
      <c r="GO13" s="118"/>
      <c r="GP13" s="118"/>
      <c r="GQ13" s="118"/>
      <c r="GR13" s="118"/>
      <c r="GS13" s="118"/>
      <c r="GT13" s="118"/>
      <c r="GU13" s="118"/>
      <c r="GV13" s="118"/>
      <c r="GW13" s="118"/>
      <c r="GX13" s="118"/>
      <c r="GY13" s="118"/>
      <c r="GZ13" s="118"/>
      <c r="HA13" s="118"/>
      <c r="HB13" s="118"/>
      <c r="HC13" s="118"/>
      <c r="HD13" s="118"/>
      <c r="HE13" s="118"/>
      <c r="HF13" s="118"/>
      <c r="HG13" s="118"/>
      <c r="HH13" s="118"/>
      <c r="HI13" s="118"/>
      <c r="HJ13" s="118"/>
      <c r="HK13" s="118"/>
      <c r="HL13" s="118"/>
      <c r="HM13" s="118"/>
      <c r="HN13" s="118"/>
      <c r="HO13" s="118"/>
      <c r="HP13" s="118"/>
      <c r="HQ13" s="118"/>
      <c r="HR13" s="118"/>
      <c r="HS13" s="118"/>
      <c r="HT13" s="118"/>
      <c r="HU13" s="118"/>
      <c r="HV13" s="118"/>
      <c r="HW13" s="118"/>
      <c r="HX13" s="118"/>
      <c r="HY13" s="118"/>
      <c r="HZ13" s="118"/>
      <c r="IA13" s="118"/>
      <c r="IB13" s="118"/>
      <c r="IC13" s="118"/>
      <c r="ID13" s="118"/>
      <c r="IE13" s="118"/>
      <c r="IF13" s="118"/>
      <c r="IG13" s="118"/>
      <c r="IH13" s="118"/>
      <c r="II13" s="118"/>
      <c r="IJ13" s="118"/>
      <c r="IK13" s="118"/>
      <c r="IL13" s="118"/>
      <c r="IM13" s="118"/>
      <c r="IN13" s="118"/>
      <c r="IO13" s="118"/>
      <c r="IP13" s="118"/>
      <c r="IQ13" s="118"/>
      <c r="IR13" s="118"/>
      <c r="IS13" s="118"/>
    </row>
    <row r="14" spans="1:253" ht="12">
      <c r="A14" s="115" t="s">
        <v>145</v>
      </c>
      <c r="B14" s="116"/>
      <c r="C14" s="116"/>
      <c r="D14" s="119"/>
      <c r="E14" s="122" t="s">
        <v>49</v>
      </c>
      <c r="F14" s="113"/>
      <c r="G14" s="114"/>
      <c r="H14" s="112"/>
      <c r="I14" s="113"/>
      <c r="J14" s="114"/>
      <c r="K14" s="112"/>
      <c r="L14" s="113"/>
      <c r="M14" s="114"/>
      <c r="N14" s="112"/>
      <c r="O14" s="113"/>
      <c r="P14" s="114"/>
      <c r="Q14" s="118"/>
      <c r="R14" s="118"/>
      <c r="S14" s="118"/>
      <c r="T14" s="118"/>
      <c r="U14" s="118"/>
      <c r="V14" s="118"/>
      <c r="W14" s="118"/>
      <c r="X14" s="118"/>
      <c r="Y14" s="118"/>
      <c r="Z14" s="118"/>
      <c r="AA14" s="118"/>
      <c r="AB14" s="118"/>
      <c r="AC14" s="118"/>
      <c r="AD14" s="118"/>
      <c r="AE14" s="118"/>
      <c r="AF14" s="118"/>
      <c r="AG14" s="118"/>
      <c r="AH14" s="118"/>
      <c r="AI14" s="118"/>
      <c r="AJ14" s="118"/>
      <c r="AK14" s="118"/>
      <c r="AL14" s="118"/>
      <c r="AM14" s="118"/>
      <c r="AN14" s="118"/>
      <c r="AO14" s="118"/>
      <c r="AP14" s="118"/>
      <c r="AQ14" s="118"/>
      <c r="AR14" s="118"/>
      <c r="AS14" s="118"/>
      <c r="AT14" s="118"/>
      <c r="AU14" s="118"/>
      <c r="AV14" s="118"/>
      <c r="AW14" s="118"/>
      <c r="AX14" s="118"/>
      <c r="AY14" s="118"/>
      <c r="AZ14" s="118"/>
      <c r="BA14" s="118"/>
      <c r="BB14" s="118"/>
      <c r="BC14" s="118"/>
      <c r="BD14" s="118"/>
      <c r="BE14" s="118"/>
      <c r="BF14" s="118"/>
      <c r="BG14" s="118"/>
      <c r="BH14" s="118"/>
      <c r="BI14" s="118"/>
      <c r="BJ14" s="118"/>
      <c r="BK14" s="118"/>
      <c r="BL14" s="118"/>
      <c r="BM14" s="118"/>
      <c r="BN14" s="118"/>
      <c r="BO14" s="118"/>
      <c r="BP14" s="118"/>
      <c r="BQ14" s="118"/>
      <c r="BR14" s="118"/>
      <c r="BS14" s="118"/>
      <c r="BT14" s="118"/>
      <c r="BU14" s="118"/>
      <c r="BV14" s="118"/>
      <c r="BW14" s="118"/>
      <c r="BX14" s="118"/>
      <c r="BY14" s="118"/>
      <c r="BZ14" s="118"/>
      <c r="CA14" s="118"/>
      <c r="CB14" s="118"/>
      <c r="CC14" s="118"/>
      <c r="CD14" s="118"/>
      <c r="CE14" s="118"/>
      <c r="CF14" s="118"/>
      <c r="CG14" s="118"/>
      <c r="CH14" s="118"/>
      <c r="CI14" s="118"/>
      <c r="CJ14" s="118"/>
      <c r="CK14" s="118"/>
      <c r="CL14" s="118"/>
      <c r="CM14" s="118"/>
      <c r="CN14" s="118"/>
      <c r="CO14" s="118"/>
      <c r="CP14" s="118"/>
      <c r="CQ14" s="118"/>
      <c r="CR14" s="118"/>
      <c r="CS14" s="118"/>
      <c r="CT14" s="118"/>
      <c r="CU14" s="118"/>
      <c r="CV14" s="118"/>
      <c r="CW14" s="118"/>
      <c r="CX14" s="118"/>
      <c r="CY14" s="118"/>
      <c r="CZ14" s="118"/>
      <c r="DA14" s="118"/>
      <c r="DB14" s="118"/>
      <c r="DC14" s="118"/>
      <c r="DD14" s="118"/>
      <c r="DE14" s="118"/>
      <c r="DF14" s="118"/>
      <c r="DG14" s="118"/>
      <c r="DH14" s="118"/>
      <c r="DI14" s="118"/>
      <c r="DJ14" s="118"/>
      <c r="DK14" s="118"/>
      <c r="DL14" s="118"/>
      <c r="DM14" s="118"/>
      <c r="DN14" s="118"/>
      <c r="DO14" s="118"/>
      <c r="DP14" s="118"/>
      <c r="DQ14" s="118"/>
      <c r="DR14" s="118"/>
      <c r="DS14" s="118"/>
      <c r="DT14" s="118"/>
      <c r="DU14" s="118"/>
      <c r="DV14" s="118"/>
      <c r="DW14" s="118"/>
      <c r="DX14" s="118"/>
      <c r="DY14" s="118"/>
      <c r="DZ14" s="118"/>
      <c r="EA14" s="118"/>
      <c r="EB14" s="118"/>
      <c r="EC14" s="118"/>
      <c r="ED14" s="118"/>
      <c r="EE14" s="118"/>
      <c r="EF14" s="118"/>
      <c r="EG14" s="118"/>
      <c r="EH14" s="118"/>
      <c r="EI14" s="118"/>
      <c r="EJ14" s="118"/>
      <c r="EK14" s="118"/>
      <c r="EL14" s="118"/>
      <c r="EM14" s="118"/>
      <c r="EN14" s="118"/>
      <c r="EO14" s="118"/>
      <c r="EP14" s="118"/>
      <c r="EQ14" s="118"/>
      <c r="ER14" s="118"/>
      <c r="ES14" s="118"/>
      <c r="ET14" s="118"/>
      <c r="EU14" s="118"/>
      <c r="EV14" s="118"/>
      <c r="EW14" s="118"/>
      <c r="EX14" s="118"/>
      <c r="EY14" s="118"/>
      <c r="EZ14" s="118"/>
      <c r="FA14" s="118"/>
      <c r="FB14" s="118"/>
      <c r="FC14" s="118"/>
      <c r="FD14" s="118"/>
      <c r="FE14" s="118"/>
      <c r="FF14" s="118"/>
      <c r="FG14" s="118"/>
      <c r="FH14" s="118"/>
      <c r="FI14" s="118"/>
      <c r="FJ14" s="118"/>
      <c r="FK14" s="118"/>
      <c r="FL14" s="118"/>
      <c r="FM14" s="118"/>
      <c r="FN14" s="118"/>
      <c r="FO14" s="118"/>
      <c r="FP14" s="118"/>
      <c r="FQ14" s="118"/>
      <c r="FR14" s="118"/>
      <c r="FS14" s="118"/>
      <c r="FT14" s="118"/>
      <c r="FU14" s="118"/>
      <c r="FV14" s="118"/>
      <c r="FW14" s="118"/>
      <c r="FX14" s="118"/>
      <c r="FY14" s="118"/>
      <c r="FZ14" s="118"/>
      <c r="GA14" s="118"/>
      <c r="GB14" s="118"/>
      <c r="GC14" s="118"/>
      <c r="GD14" s="118"/>
      <c r="GE14" s="118"/>
      <c r="GF14" s="118"/>
      <c r="GG14" s="118"/>
      <c r="GH14" s="118"/>
      <c r="GI14" s="118"/>
      <c r="GJ14" s="118"/>
      <c r="GK14" s="118"/>
      <c r="GL14" s="118"/>
      <c r="GM14" s="118"/>
      <c r="GN14" s="118"/>
      <c r="GO14" s="118"/>
      <c r="GP14" s="118"/>
      <c r="GQ14" s="118"/>
      <c r="GR14" s="118"/>
      <c r="GS14" s="118"/>
      <c r="GT14" s="118"/>
      <c r="GU14" s="118"/>
      <c r="GV14" s="118"/>
      <c r="GW14" s="118"/>
      <c r="GX14" s="118"/>
      <c r="GY14" s="118"/>
      <c r="GZ14" s="118"/>
      <c r="HA14" s="118"/>
      <c r="HB14" s="118"/>
      <c r="HC14" s="118"/>
      <c r="HD14" s="118"/>
      <c r="HE14" s="118"/>
      <c r="HF14" s="118"/>
      <c r="HG14" s="118"/>
      <c r="HH14" s="118"/>
      <c r="HI14" s="118"/>
      <c r="HJ14" s="118"/>
      <c r="HK14" s="118"/>
      <c r="HL14" s="118"/>
      <c r="HM14" s="118"/>
      <c r="HN14" s="118"/>
      <c r="HO14" s="118"/>
      <c r="HP14" s="118"/>
      <c r="HQ14" s="118"/>
      <c r="HR14" s="118"/>
      <c r="HS14" s="118"/>
      <c r="HT14" s="118"/>
      <c r="HU14" s="118"/>
      <c r="HV14" s="118"/>
      <c r="HW14" s="118"/>
      <c r="HX14" s="118"/>
      <c r="HY14" s="118"/>
      <c r="HZ14" s="118"/>
      <c r="IA14" s="118"/>
      <c r="IB14" s="118"/>
      <c r="IC14" s="118"/>
      <c r="ID14" s="118"/>
      <c r="IE14" s="118"/>
      <c r="IF14" s="118"/>
      <c r="IG14" s="118"/>
      <c r="IH14" s="118"/>
      <c r="II14" s="118"/>
      <c r="IJ14" s="118"/>
      <c r="IK14" s="118"/>
      <c r="IL14" s="118"/>
      <c r="IM14" s="118"/>
      <c r="IN14" s="118"/>
      <c r="IO14" s="118"/>
      <c r="IP14" s="118"/>
      <c r="IQ14" s="118"/>
      <c r="IR14" s="118"/>
      <c r="IS14" s="118"/>
    </row>
    <row r="15" spans="1:253" ht="12">
      <c r="A15" s="115"/>
      <c r="B15" s="116"/>
      <c r="C15" s="116"/>
      <c r="D15" s="119"/>
      <c r="E15" s="111"/>
      <c r="F15" s="113"/>
      <c r="G15" s="114"/>
      <c r="H15" s="112"/>
      <c r="I15" s="113"/>
      <c r="J15" s="114"/>
      <c r="K15" s="112"/>
      <c r="L15" s="113"/>
      <c r="M15" s="114"/>
      <c r="N15" s="112"/>
      <c r="O15" s="113"/>
      <c r="P15" s="114"/>
      <c r="Q15" s="118"/>
      <c r="R15" s="118"/>
      <c r="S15" s="118"/>
      <c r="T15" s="118"/>
      <c r="U15" s="118"/>
      <c r="V15" s="118"/>
      <c r="W15" s="118"/>
      <c r="X15" s="118"/>
      <c r="Y15" s="118"/>
      <c r="Z15" s="118"/>
      <c r="AA15" s="118"/>
      <c r="AB15" s="118"/>
      <c r="AC15" s="118"/>
      <c r="AD15" s="118"/>
      <c r="AE15" s="118"/>
      <c r="AF15" s="118"/>
      <c r="AG15" s="118"/>
      <c r="AH15" s="118"/>
      <c r="AI15" s="118"/>
      <c r="AJ15" s="118"/>
      <c r="AK15" s="118"/>
      <c r="AL15" s="118"/>
      <c r="AM15" s="118"/>
      <c r="AN15" s="118"/>
      <c r="AO15" s="118"/>
      <c r="AP15" s="118"/>
      <c r="AQ15" s="118"/>
      <c r="AR15" s="118"/>
      <c r="AS15" s="118"/>
      <c r="AT15" s="118"/>
      <c r="AU15" s="118"/>
      <c r="AV15" s="118"/>
      <c r="AW15" s="118"/>
      <c r="AX15" s="118"/>
      <c r="AY15" s="118"/>
      <c r="AZ15" s="118"/>
      <c r="BA15" s="118"/>
      <c r="BB15" s="118"/>
      <c r="BC15" s="118"/>
      <c r="BD15" s="118"/>
      <c r="BE15" s="118"/>
      <c r="BF15" s="118"/>
      <c r="BG15" s="118"/>
      <c r="BH15" s="118"/>
      <c r="BI15" s="118"/>
      <c r="BJ15" s="118"/>
      <c r="BK15" s="118"/>
      <c r="BL15" s="118"/>
      <c r="BM15" s="118"/>
      <c r="BN15" s="118"/>
      <c r="BO15" s="118"/>
      <c r="BP15" s="118"/>
      <c r="BQ15" s="118"/>
      <c r="BR15" s="118"/>
      <c r="BS15" s="118"/>
      <c r="BT15" s="118"/>
      <c r="BU15" s="118"/>
      <c r="BV15" s="118"/>
      <c r="BW15" s="118"/>
      <c r="BX15" s="118"/>
      <c r="BY15" s="118"/>
      <c r="BZ15" s="118"/>
      <c r="CA15" s="118"/>
      <c r="CB15" s="118"/>
      <c r="CC15" s="118"/>
      <c r="CD15" s="118"/>
      <c r="CE15" s="118"/>
      <c r="CF15" s="118"/>
      <c r="CG15" s="118"/>
      <c r="CH15" s="118"/>
      <c r="CI15" s="118"/>
      <c r="CJ15" s="118"/>
      <c r="CK15" s="118"/>
      <c r="CL15" s="118"/>
      <c r="CM15" s="118"/>
      <c r="CN15" s="118"/>
      <c r="CO15" s="118"/>
      <c r="CP15" s="118"/>
      <c r="CQ15" s="118"/>
      <c r="CR15" s="118"/>
      <c r="CS15" s="118"/>
      <c r="CT15" s="118"/>
      <c r="CU15" s="118"/>
      <c r="CV15" s="118"/>
      <c r="CW15" s="118"/>
      <c r="CX15" s="118"/>
      <c r="CY15" s="118"/>
      <c r="CZ15" s="118"/>
      <c r="DA15" s="118"/>
      <c r="DB15" s="118"/>
      <c r="DC15" s="118"/>
      <c r="DD15" s="118"/>
      <c r="DE15" s="118"/>
      <c r="DF15" s="118"/>
      <c r="DG15" s="118"/>
      <c r="DH15" s="118"/>
      <c r="DI15" s="118"/>
      <c r="DJ15" s="118"/>
      <c r="DK15" s="118"/>
      <c r="DL15" s="118"/>
      <c r="DM15" s="118"/>
      <c r="DN15" s="118"/>
      <c r="DO15" s="118"/>
      <c r="DP15" s="118"/>
      <c r="DQ15" s="118"/>
      <c r="DR15" s="118"/>
      <c r="DS15" s="118"/>
      <c r="DT15" s="118"/>
      <c r="DU15" s="118"/>
      <c r="DV15" s="118"/>
      <c r="DW15" s="118"/>
      <c r="DX15" s="118"/>
      <c r="DY15" s="118"/>
      <c r="DZ15" s="118"/>
      <c r="EA15" s="118"/>
      <c r="EB15" s="118"/>
      <c r="EC15" s="118"/>
      <c r="ED15" s="118"/>
      <c r="EE15" s="118"/>
      <c r="EF15" s="118"/>
      <c r="EG15" s="118"/>
      <c r="EH15" s="118"/>
      <c r="EI15" s="118"/>
      <c r="EJ15" s="118"/>
      <c r="EK15" s="118"/>
      <c r="EL15" s="118"/>
      <c r="EM15" s="118"/>
      <c r="EN15" s="118"/>
      <c r="EO15" s="118"/>
      <c r="EP15" s="118"/>
      <c r="EQ15" s="118"/>
      <c r="ER15" s="118"/>
      <c r="ES15" s="118"/>
      <c r="ET15" s="118"/>
      <c r="EU15" s="118"/>
      <c r="EV15" s="118"/>
      <c r="EW15" s="118"/>
      <c r="EX15" s="118"/>
      <c r="EY15" s="118"/>
      <c r="EZ15" s="118"/>
      <c r="FA15" s="118"/>
      <c r="FB15" s="118"/>
      <c r="FC15" s="118"/>
      <c r="FD15" s="118"/>
      <c r="FE15" s="118"/>
      <c r="FF15" s="118"/>
      <c r="FG15" s="118"/>
      <c r="FH15" s="118"/>
      <c r="FI15" s="118"/>
      <c r="FJ15" s="118"/>
      <c r="FK15" s="118"/>
      <c r="FL15" s="118"/>
      <c r="FM15" s="118"/>
      <c r="FN15" s="118"/>
      <c r="FO15" s="118"/>
      <c r="FP15" s="118"/>
      <c r="FQ15" s="118"/>
      <c r="FR15" s="118"/>
      <c r="FS15" s="118"/>
      <c r="FT15" s="118"/>
      <c r="FU15" s="118"/>
      <c r="FV15" s="118"/>
      <c r="FW15" s="118"/>
      <c r="FX15" s="118"/>
      <c r="FY15" s="118"/>
      <c r="FZ15" s="118"/>
      <c r="GA15" s="118"/>
      <c r="GB15" s="118"/>
      <c r="GC15" s="118"/>
      <c r="GD15" s="118"/>
      <c r="GE15" s="118"/>
      <c r="GF15" s="118"/>
      <c r="GG15" s="118"/>
      <c r="GH15" s="118"/>
      <c r="GI15" s="118"/>
      <c r="GJ15" s="118"/>
      <c r="GK15" s="118"/>
      <c r="GL15" s="118"/>
      <c r="GM15" s="118"/>
      <c r="GN15" s="118"/>
      <c r="GO15" s="118"/>
      <c r="GP15" s="118"/>
      <c r="GQ15" s="118"/>
      <c r="GR15" s="118"/>
      <c r="GS15" s="118"/>
      <c r="GT15" s="118"/>
      <c r="GU15" s="118"/>
      <c r="GV15" s="118"/>
      <c r="GW15" s="118"/>
      <c r="GX15" s="118"/>
      <c r="GY15" s="118"/>
      <c r="GZ15" s="118"/>
      <c r="HA15" s="118"/>
      <c r="HB15" s="118"/>
      <c r="HC15" s="118"/>
      <c r="HD15" s="118"/>
      <c r="HE15" s="118"/>
      <c r="HF15" s="118"/>
      <c r="HG15" s="118"/>
      <c r="HH15" s="118"/>
      <c r="HI15" s="118"/>
      <c r="HJ15" s="118"/>
      <c r="HK15" s="118"/>
      <c r="HL15" s="118"/>
      <c r="HM15" s="118"/>
      <c r="HN15" s="118"/>
      <c r="HO15" s="118"/>
      <c r="HP15" s="118"/>
      <c r="HQ15" s="118"/>
      <c r="HR15" s="118"/>
      <c r="HS15" s="118"/>
      <c r="HT15" s="118"/>
      <c r="HU15" s="118"/>
      <c r="HV15" s="118"/>
      <c r="HW15" s="118"/>
      <c r="HX15" s="118"/>
      <c r="HY15" s="118"/>
      <c r="HZ15" s="118"/>
      <c r="IA15" s="118"/>
      <c r="IB15" s="118"/>
      <c r="IC15" s="118"/>
      <c r="ID15" s="118"/>
      <c r="IE15" s="118"/>
      <c r="IF15" s="118"/>
      <c r="IG15" s="118"/>
      <c r="IH15" s="118"/>
      <c r="II15" s="118"/>
      <c r="IJ15" s="118"/>
      <c r="IK15" s="118"/>
      <c r="IL15" s="118"/>
      <c r="IM15" s="118"/>
      <c r="IN15" s="118"/>
      <c r="IO15" s="118"/>
      <c r="IP15" s="118"/>
      <c r="IQ15" s="118"/>
      <c r="IR15" s="118"/>
      <c r="IS15" s="118"/>
    </row>
    <row r="16" spans="1:253" ht="12.75">
      <c r="A16" s="120" t="s">
        <v>149</v>
      </c>
      <c r="B16" s="106"/>
      <c r="C16" s="106"/>
      <c r="D16" s="121"/>
      <c r="E16" s="110"/>
      <c r="F16" s="113"/>
      <c r="G16" s="114"/>
      <c r="H16" s="112"/>
      <c r="I16" s="113"/>
      <c r="J16" s="114"/>
      <c r="K16" s="112"/>
      <c r="L16" s="113"/>
      <c r="M16" s="114"/>
      <c r="N16" s="112"/>
      <c r="O16" s="113"/>
      <c r="P16" s="114"/>
      <c r="Q16" s="118"/>
      <c r="R16" s="118"/>
      <c r="S16" s="118"/>
      <c r="T16" s="118"/>
      <c r="U16" s="118"/>
      <c r="V16" s="118"/>
      <c r="W16" s="118"/>
      <c r="X16" s="118"/>
      <c r="Y16" s="118"/>
      <c r="Z16" s="118"/>
      <c r="AA16" s="118"/>
      <c r="AB16" s="118"/>
      <c r="AC16" s="118"/>
      <c r="AD16" s="118"/>
      <c r="AE16" s="118"/>
      <c r="AF16" s="118"/>
      <c r="AG16" s="118"/>
      <c r="AH16" s="118"/>
      <c r="AI16" s="118"/>
      <c r="AJ16" s="118"/>
      <c r="AK16" s="118"/>
      <c r="AL16" s="118"/>
      <c r="AM16" s="118"/>
      <c r="AN16" s="118"/>
      <c r="AO16" s="118"/>
      <c r="AP16" s="118"/>
      <c r="AQ16" s="118"/>
      <c r="AR16" s="118"/>
      <c r="AS16" s="118"/>
      <c r="AT16" s="118"/>
      <c r="AU16" s="118"/>
      <c r="AV16" s="118"/>
      <c r="AW16" s="118"/>
      <c r="AX16" s="118"/>
      <c r="AY16" s="118"/>
      <c r="AZ16" s="118"/>
      <c r="BA16" s="118"/>
      <c r="BB16" s="118"/>
      <c r="BC16" s="118"/>
      <c r="BD16" s="118"/>
      <c r="BE16" s="118"/>
      <c r="BF16" s="118"/>
      <c r="BG16" s="118"/>
      <c r="BH16" s="118"/>
      <c r="BI16" s="118"/>
      <c r="BJ16" s="118"/>
      <c r="BK16" s="118"/>
      <c r="BL16" s="118"/>
      <c r="BM16" s="118"/>
      <c r="BN16" s="118"/>
      <c r="BO16" s="118"/>
      <c r="BP16" s="118"/>
      <c r="BQ16" s="118"/>
      <c r="BR16" s="118"/>
      <c r="BS16" s="118"/>
      <c r="BT16" s="118"/>
      <c r="BU16" s="118"/>
      <c r="BV16" s="118"/>
      <c r="BW16" s="118"/>
      <c r="BX16" s="118"/>
      <c r="BY16" s="118"/>
      <c r="BZ16" s="118"/>
      <c r="CA16" s="118"/>
      <c r="CB16" s="118"/>
      <c r="CC16" s="118"/>
      <c r="CD16" s="118"/>
      <c r="CE16" s="118"/>
      <c r="CF16" s="118"/>
      <c r="CG16" s="118"/>
      <c r="CH16" s="118"/>
      <c r="CI16" s="118"/>
      <c r="CJ16" s="118"/>
      <c r="CK16" s="118"/>
      <c r="CL16" s="118"/>
      <c r="CM16" s="118"/>
      <c r="CN16" s="118"/>
      <c r="CO16" s="118"/>
      <c r="CP16" s="118"/>
      <c r="CQ16" s="118"/>
      <c r="CR16" s="118"/>
      <c r="CS16" s="118"/>
      <c r="CT16" s="118"/>
      <c r="CU16" s="118"/>
      <c r="CV16" s="118"/>
      <c r="CW16" s="118"/>
      <c r="CX16" s="118"/>
      <c r="CY16" s="118"/>
      <c r="CZ16" s="118"/>
      <c r="DA16" s="118"/>
      <c r="DB16" s="118"/>
      <c r="DC16" s="118"/>
      <c r="DD16" s="118"/>
      <c r="DE16" s="118"/>
      <c r="DF16" s="118"/>
      <c r="DG16" s="118"/>
      <c r="DH16" s="118"/>
      <c r="DI16" s="118"/>
      <c r="DJ16" s="118"/>
      <c r="DK16" s="118"/>
      <c r="DL16" s="118"/>
      <c r="DM16" s="118"/>
      <c r="DN16" s="118"/>
      <c r="DO16" s="118"/>
      <c r="DP16" s="118"/>
      <c r="DQ16" s="118"/>
      <c r="DR16" s="118"/>
      <c r="DS16" s="118"/>
      <c r="DT16" s="118"/>
      <c r="DU16" s="118"/>
      <c r="DV16" s="118"/>
      <c r="DW16" s="118"/>
      <c r="DX16" s="118"/>
      <c r="DY16" s="118"/>
      <c r="DZ16" s="118"/>
      <c r="EA16" s="118"/>
      <c r="EB16" s="118"/>
      <c r="EC16" s="118"/>
      <c r="ED16" s="118"/>
      <c r="EE16" s="118"/>
      <c r="EF16" s="118"/>
      <c r="EG16" s="118"/>
      <c r="EH16" s="118"/>
      <c r="EI16" s="118"/>
      <c r="EJ16" s="118"/>
      <c r="EK16" s="118"/>
      <c r="EL16" s="118"/>
      <c r="EM16" s="118"/>
      <c r="EN16" s="118"/>
      <c r="EO16" s="118"/>
      <c r="EP16" s="118"/>
      <c r="EQ16" s="118"/>
      <c r="ER16" s="118"/>
      <c r="ES16" s="118"/>
      <c r="ET16" s="118"/>
      <c r="EU16" s="118"/>
      <c r="EV16" s="118"/>
      <c r="EW16" s="118"/>
      <c r="EX16" s="118"/>
      <c r="EY16" s="118"/>
      <c r="EZ16" s="118"/>
      <c r="FA16" s="118"/>
      <c r="FB16" s="118"/>
      <c r="FC16" s="118"/>
      <c r="FD16" s="118"/>
      <c r="FE16" s="118"/>
      <c r="FF16" s="118"/>
      <c r="FG16" s="118"/>
      <c r="FH16" s="118"/>
      <c r="FI16" s="118"/>
      <c r="FJ16" s="118"/>
      <c r="FK16" s="118"/>
      <c r="FL16" s="118"/>
      <c r="FM16" s="118"/>
      <c r="FN16" s="118"/>
      <c r="FO16" s="118"/>
      <c r="FP16" s="118"/>
      <c r="FQ16" s="118"/>
      <c r="FR16" s="118"/>
      <c r="FS16" s="118"/>
      <c r="FT16" s="118"/>
      <c r="FU16" s="118"/>
      <c r="FV16" s="118"/>
      <c r="FW16" s="118"/>
      <c r="FX16" s="118"/>
      <c r="FY16" s="118"/>
      <c r="FZ16" s="118"/>
      <c r="GA16" s="118"/>
      <c r="GB16" s="118"/>
      <c r="GC16" s="118"/>
      <c r="GD16" s="118"/>
      <c r="GE16" s="118"/>
      <c r="GF16" s="118"/>
      <c r="GG16" s="118"/>
      <c r="GH16" s="118"/>
      <c r="GI16" s="118"/>
      <c r="GJ16" s="118"/>
      <c r="GK16" s="118"/>
      <c r="GL16" s="118"/>
      <c r="GM16" s="118"/>
      <c r="GN16" s="118"/>
      <c r="GO16" s="118"/>
      <c r="GP16" s="118"/>
      <c r="GQ16" s="118"/>
      <c r="GR16" s="118"/>
      <c r="GS16" s="118"/>
      <c r="GT16" s="118"/>
      <c r="GU16" s="118"/>
      <c r="GV16" s="118"/>
      <c r="GW16" s="118"/>
      <c r="GX16" s="118"/>
      <c r="GY16" s="118"/>
      <c r="GZ16" s="118"/>
      <c r="HA16" s="118"/>
      <c r="HB16" s="118"/>
      <c r="HC16" s="118"/>
      <c r="HD16" s="118"/>
      <c r="HE16" s="118"/>
      <c r="HF16" s="118"/>
      <c r="HG16" s="118"/>
      <c r="HH16" s="118"/>
      <c r="HI16" s="118"/>
      <c r="HJ16" s="118"/>
      <c r="HK16" s="118"/>
      <c r="HL16" s="118"/>
      <c r="HM16" s="118"/>
      <c r="HN16" s="118"/>
      <c r="HO16" s="118"/>
      <c r="HP16" s="118"/>
      <c r="HQ16" s="118"/>
      <c r="HR16" s="118"/>
      <c r="HS16" s="118"/>
      <c r="HT16" s="118"/>
      <c r="HU16" s="118"/>
      <c r="HV16" s="118"/>
      <c r="HW16" s="118"/>
      <c r="HX16" s="118"/>
      <c r="HY16" s="118"/>
      <c r="HZ16" s="118"/>
      <c r="IA16" s="118"/>
      <c r="IB16" s="118"/>
      <c r="IC16" s="118"/>
      <c r="ID16" s="118"/>
      <c r="IE16" s="118"/>
      <c r="IF16" s="118"/>
      <c r="IG16" s="118"/>
      <c r="IH16" s="118"/>
      <c r="II16" s="118"/>
      <c r="IJ16" s="118"/>
      <c r="IK16" s="118"/>
      <c r="IL16" s="118"/>
      <c r="IM16" s="118"/>
      <c r="IN16" s="118"/>
      <c r="IO16" s="118"/>
      <c r="IP16" s="118"/>
      <c r="IQ16" s="118"/>
      <c r="IR16" s="118"/>
      <c r="IS16" s="118"/>
    </row>
    <row r="17" spans="1:253" ht="12">
      <c r="A17" s="115" t="s">
        <v>146</v>
      </c>
      <c r="B17" s="116"/>
      <c r="C17" s="116"/>
      <c r="D17" s="119"/>
      <c r="E17" s="103"/>
      <c r="F17" s="122">
        <v>0</v>
      </c>
      <c r="G17" s="114"/>
      <c r="H17" s="112"/>
      <c r="I17" s="113"/>
      <c r="J17" s="114"/>
      <c r="K17" s="112"/>
      <c r="L17" s="113"/>
      <c r="M17" s="114"/>
      <c r="N17" s="112"/>
      <c r="O17" s="113"/>
      <c r="P17" s="114"/>
      <c r="Q17" s="118"/>
      <c r="R17" s="118"/>
      <c r="S17" s="118"/>
      <c r="T17" s="118"/>
      <c r="U17" s="118"/>
      <c r="V17" s="118"/>
      <c r="W17" s="118"/>
      <c r="X17" s="118"/>
      <c r="Y17" s="118"/>
      <c r="Z17" s="118"/>
      <c r="AA17" s="118"/>
      <c r="AB17" s="118"/>
      <c r="AC17" s="118"/>
      <c r="AD17" s="118"/>
      <c r="AE17" s="118"/>
      <c r="AF17" s="118"/>
      <c r="AG17" s="118"/>
      <c r="AH17" s="118"/>
      <c r="AI17" s="118"/>
      <c r="AJ17" s="118"/>
      <c r="AK17" s="118"/>
      <c r="AL17" s="118"/>
      <c r="AM17" s="118"/>
      <c r="AN17" s="118"/>
      <c r="AO17" s="118"/>
      <c r="AP17" s="118"/>
      <c r="AQ17" s="118"/>
      <c r="AR17" s="118"/>
      <c r="AS17" s="118"/>
      <c r="AT17" s="118"/>
      <c r="AU17" s="118"/>
      <c r="AV17" s="118"/>
      <c r="AW17" s="118"/>
      <c r="AX17" s="118"/>
      <c r="AY17" s="118"/>
      <c r="AZ17" s="118"/>
      <c r="BA17" s="118"/>
      <c r="BB17" s="118"/>
      <c r="BC17" s="118"/>
      <c r="BD17" s="118"/>
      <c r="BE17" s="118"/>
      <c r="BF17" s="118"/>
      <c r="BG17" s="118"/>
      <c r="BH17" s="118"/>
      <c r="BI17" s="118"/>
      <c r="BJ17" s="118"/>
      <c r="BK17" s="118"/>
      <c r="BL17" s="118"/>
      <c r="BM17" s="118"/>
      <c r="BN17" s="118"/>
      <c r="BO17" s="118"/>
      <c r="BP17" s="118"/>
      <c r="BQ17" s="118"/>
      <c r="BR17" s="118"/>
      <c r="BS17" s="118"/>
      <c r="BT17" s="118"/>
      <c r="BU17" s="118"/>
      <c r="BV17" s="118"/>
      <c r="BW17" s="118"/>
      <c r="BX17" s="118"/>
      <c r="BY17" s="118"/>
      <c r="BZ17" s="118"/>
      <c r="CA17" s="118"/>
      <c r="CB17" s="118"/>
      <c r="CC17" s="118"/>
      <c r="CD17" s="118"/>
      <c r="CE17" s="118"/>
      <c r="CF17" s="118"/>
      <c r="CG17" s="118"/>
      <c r="CH17" s="118"/>
      <c r="CI17" s="118"/>
      <c r="CJ17" s="118"/>
      <c r="CK17" s="118"/>
      <c r="CL17" s="118"/>
      <c r="CM17" s="118"/>
      <c r="CN17" s="118"/>
      <c r="CO17" s="118"/>
      <c r="CP17" s="118"/>
      <c r="CQ17" s="118"/>
      <c r="CR17" s="118"/>
      <c r="CS17" s="118"/>
      <c r="CT17" s="118"/>
      <c r="CU17" s="118"/>
      <c r="CV17" s="118"/>
      <c r="CW17" s="118"/>
      <c r="CX17" s="118"/>
      <c r="CY17" s="118"/>
      <c r="CZ17" s="118"/>
      <c r="DA17" s="118"/>
      <c r="DB17" s="118"/>
      <c r="DC17" s="118"/>
      <c r="DD17" s="118"/>
      <c r="DE17" s="118"/>
      <c r="DF17" s="118"/>
      <c r="DG17" s="118"/>
      <c r="DH17" s="118"/>
      <c r="DI17" s="118"/>
      <c r="DJ17" s="118"/>
      <c r="DK17" s="118"/>
      <c r="DL17" s="118"/>
      <c r="DM17" s="118"/>
      <c r="DN17" s="118"/>
      <c r="DO17" s="118"/>
      <c r="DP17" s="118"/>
      <c r="DQ17" s="118"/>
      <c r="DR17" s="118"/>
      <c r="DS17" s="118"/>
      <c r="DT17" s="118"/>
      <c r="DU17" s="118"/>
      <c r="DV17" s="118"/>
      <c r="DW17" s="118"/>
      <c r="DX17" s="118"/>
      <c r="DY17" s="118"/>
      <c r="DZ17" s="118"/>
      <c r="EA17" s="118"/>
      <c r="EB17" s="118"/>
      <c r="EC17" s="118"/>
      <c r="ED17" s="118"/>
      <c r="EE17" s="118"/>
      <c r="EF17" s="118"/>
      <c r="EG17" s="118"/>
      <c r="EH17" s="118"/>
      <c r="EI17" s="118"/>
      <c r="EJ17" s="118"/>
      <c r="EK17" s="118"/>
      <c r="EL17" s="118"/>
      <c r="EM17" s="118"/>
      <c r="EN17" s="118"/>
      <c r="EO17" s="118"/>
      <c r="EP17" s="118"/>
      <c r="EQ17" s="118"/>
      <c r="ER17" s="118"/>
      <c r="ES17" s="118"/>
      <c r="ET17" s="118"/>
      <c r="EU17" s="118"/>
      <c r="EV17" s="118"/>
      <c r="EW17" s="118"/>
      <c r="EX17" s="118"/>
      <c r="EY17" s="118"/>
      <c r="EZ17" s="118"/>
      <c r="FA17" s="118"/>
      <c r="FB17" s="118"/>
      <c r="FC17" s="118"/>
      <c r="FD17" s="118"/>
      <c r="FE17" s="118"/>
      <c r="FF17" s="118"/>
      <c r="FG17" s="118"/>
      <c r="FH17" s="118"/>
      <c r="FI17" s="118"/>
      <c r="FJ17" s="118"/>
      <c r="FK17" s="118"/>
      <c r="FL17" s="118"/>
      <c r="FM17" s="118"/>
      <c r="FN17" s="118"/>
      <c r="FO17" s="118"/>
      <c r="FP17" s="118"/>
      <c r="FQ17" s="118"/>
      <c r="FR17" s="118"/>
      <c r="FS17" s="118"/>
      <c r="FT17" s="118"/>
      <c r="FU17" s="118"/>
      <c r="FV17" s="118"/>
      <c r="FW17" s="118"/>
      <c r="FX17" s="118"/>
      <c r="FY17" s="118"/>
      <c r="FZ17" s="118"/>
      <c r="GA17" s="118"/>
      <c r="GB17" s="118"/>
      <c r="GC17" s="118"/>
      <c r="GD17" s="118"/>
      <c r="GE17" s="118"/>
      <c r="GF17" s="118"/>
      <c r="GG17" s="118"/>
      <c r="GH17" s="118"/>
      <c r="GI17" s="118"/>
      <c r="GJ17" s="118"/>
      <c r="GK17" s="118"/>
      <c r="GL17" s="118"/>
      <c r="GM17" s="118"/>
      <c r="GN17" s="118"/>
      <c r="GO17" s="118"/>
      <c r="GP17" s="118"/>
      <c r="GQ17" s="118"/>
      <c r="GR17" s="118"/>
      <c r="GS17" s="118"/>
      <c r="GT17" s="118"/>
      <c r="GU17" s="118"/>
      <c r="GV17" s="118"/>
      <c r="GW17" s="118"/>
      <c r="GX17" s="118"/>
      <c r="GY17" s="118"/>
      <c r="GZ17" s="118"/>
      <c r="HA17" s="118"/>
      <c r="HB17" s="118"/>
      <c r="HC17" s="118"/>
      <c r="HD17" s="118"/>
      <c r="HE17" s="118"/>
      <c r="HF17" s="118"/>
      <c r="HG17" s="118"/>
      <c r="HH17" s="118"/>
      <c r="HI17" s="118"/>
      <c r="HJ17" s="118"/>
      <c r="HK17" s="118"/>
      <c r="HL17" s="118"/>
      <c r="HM17" s="118"/>
      <c r="HN17" s="118"/>
      <c r="HO17" s="118"/>
      <c r="HP17" s="118"/>
      <c r="HQ17" s="118"/>
      <c r="HR17" s="118"/>
      <c r="HS17" s="118"/>
      <c r="HT17" s="118"/>
      <c r="HU17" s="118"/>
      <c r="HV17" s="118"/>
      <c r="HW17" s="118"/>
      <c r="HX17" s="118"/>
      <c r="HY17" s="118"/>
      <c r="HZ17" s="118"/>
      <c r="IA17" s="118"/>
      <c r="IB17" s="118"/>
      <c r="IC17" s="118"/>
      <c r="ID17" s="118"/>
      <c r="IE17" s="118"/>
      <c r="IF17" s="118"/>
      <c r="IG17" s="118"/>
      <c r="IH17" s="118"/>
      <c r="II17" s="118"/>
      <c r="IJ17" s="118"/>
      <c r="IK17" s="118"/>
      <c r="IL17" s="118"/>
      <c r="IM17" s="118"/>
      <c r="IN17" s="118"/>
      <c r="IO17" s="118"/>
      <c r="IP17" s="118"/>
      <c r="IQ17" s="118"/>
      <c r="IR17" s="118"/>
      <c r="IS17" s="118"/>
    </row>
    <row r="18" spans="1:253" ht="12">
      <c r="A18" s="115" t="s">
        <v>140</v>
      </c>
      <c r="B18" s="116"/>
      <c r="C18" s="116"/>
      <c r="D18" s="119"/>
      <c r="E18" s="111"/>
      <c r="F18" s="122" t="s">
        <v>32</v>
      </c>
      <c r="G18" s="114"/>
      <c r="H18" s="112"/>
      <c r="I18" s="113"/>
      <c r="J18" s="114"/>
      <c r="K18" s="112"/>
      <c r="L18" s="113"/>
      <c r="M18" s="114"/>
      <c r="N18" s="112"/>
      <c r="O18" s="113"/>
      <c r="P18" s="114"/>
      <c r="Q18" s="118"/>
      <c r="R18" s="118"/>
      <c r="S18" s="118"/>
      <c r="T18" s="118"/>
      <c r="U18" s="118"/>
      <c r="V18" s="118"/>
      <c r="W18" s="118"/>
      <c r="X18" s="118"/>
      <c r="Y18" s="118"/>
      <c r="Z18" s="118"/>
      <c r="AA18" s="118"/>
      <c r="AB18" s="118"/>
      <c r="AC18" s="118"/>
      <c r="AD18" s="118"/>
      <c r="AE18" s="118"/>
      <c r="AF18" s="118"/>
      <c r="AG18" s="118"/>
      <c r="AH18" s="118"/>
      <c r="AI18" s="118"/>
      <c r="AJ18" s="118"/>
      <c r="AK18" s="118"/>
      <c r="AL18" s="118"/>
      <c r="AM18" s="118"/>
      <c r="AN18" s="118"/>
      <c r="AO18" s="118"/>
      <c r="AP18" s="118"/>
      <c r="AQ18" s="118"/>
      <c r="AR18" s="118"/>
      <c r="AS18" s="118"/>
      <c r="AT18" s="118"/>
      <c r="AU18" s="118"/>
      <c r="AV18" s="118"/>
      <c r="AW18" s="118"/>
      <c r="AX18" s="118"/>
      <c r="AY18" s="118"/>
      <c r="AZ18" s="118"/>
      <c r="BA18" s="118"/>
      <c r="BB18" s="118"/>
      <c r="BC18" s="118"/>
      <c r="BD18" s="118"/>
      <c r="BE18" s="118"/>
      <c r="BF18" s="118"/>
      <c r="BG18" s="118"/>
      <c r="BH18" s="118"/>
      <c r="BI18" s="118"/>
      <c r="BJ18" s="118"/>
      <c r="BK18" s="118"/>
      <c r="BL18" s="118"/>
      <c r="BM18" s="118"/>
      <c r="BN18" s="118"/>
      <c r="BO18" s="118"/>
      <c r="BP18" s="118"/>
      <c r="BQ18" s="118"/>
      <c r="BR18" s="118"/>
      <c r="BS18" s="118"/>
      <c r="BT18" s="118"/>
      <c r="BU18" s="118"/>
      <c r="BV18" s="118"/>
      <c r="BW18" s="118"/>
      <c r="BX18" s="118"/>
      <c r="BY18" s="118"/>
      <c r="BZ18" s="118"/>
      <c r="CA18" s="118"/>
      <c r="CB18" s="118"/>
      <c r="CC18" s="118"/>
      <c r="CD18" s="118"/>
      <c r="CE18" s="118"/>
      <c r="CF18" s="118"/>
      <c r="CG18" s="118"/>
      <c r="CH18" s="118"/>
      <c r="CI18" s="118"/>
      <c r="CJ18" s="118"/>
      <c r="CK18" s="118"/>
      <c r="CL18" s="118"/>
      <c r="CM18" s="118"/>
      <c r="CN18" s="118"/>
      <c r="CO18" s="118"/>
      <c r="CP18" s="118"/>
      <c r="CQ18" s="118"/>
      <c r="CR18" s="118"/>
      <c r="CS18" s="118"/>
      <c r="CT18" s="118"/>
      <c r="CU18" s="118"/>
      <c r="CV18" s="118"/>
      <c r="CW18" s="118"/>
      <c r="CX18" s="118"/>
      <c r="CY18" s="118"/>
      <c r="CZ18" s="118"/>
      <c r="DA18" s="118"/>
      <c r="DB18" s="118"/>
      <c r="DC18" s="118"/>
      <c r="DD18" s="118"/>
      <c r="DE18" s="118"/>
      <c r="DF18" s="118"/>
      <c r="DG18" s="118"/>
      <c r="DH18" s="118"/>
      <c r="DI18" s="118"/>
      <c r="DJ18" s="118"/>
      <c r="DK18" s="118"/>
      <c r="DL18" s="118"/>
      <c r="DM18" s="118"/>
      <c r="DN18" s="118"/>
      <c r="DO18" s="118"/>
      <c r="DP18" s="118"/>
      <c r="DQ18" s="118"/>
      <c r="DR18" s="118"/>
      <c r="DS18" s="118"/>
      <c r="DT18" s="118"/>
      <c r="DU18" s="118"/>
      <c r="DV18" s="118"/>
      <c r="DW18" s="118"/>
      <c r="DX18" s="118"/>
      <c r="DY18" s="118"/>
      <c r="DZ18" s="118"/>
      <c r="EA18" s="118"/>
      <c r="EB18" s="118"/>
      <c r="EC18" s="118"/>
      <c r="ED18" s="118"/>
      <c r="EE18" s="118"/>
      <c r="EF18" s="118"/>
      <c r="EG18" s="118"/>
      <c r="EH18" s="118"/>
      <c r="EI18" s="118"/>
      <c r="EJ18" s="118"/>
      <c r="EK18" s="118"/>
      <c r="EL18" s="118"/>
      <c r="EM18" s="118"/>
      <c r="EN18" s="118"/>
      <c r="EO18" s="118"/>
      <c r="EP18" s="118"/>
      <c r="EQ18" s="118"/>
      <c r="ER18" s="118"/>
      <c r="ES18" s="118"/>
      <c r="ET18" s="118"/>
      <c r="EU18" s="118"/>
      <c r="EV18" s="118"/>
      <c r="EW18" s="118"/>
      <c r="EX18" s="118"/>
      <c r="EY18" s="118"/>
      <c r="EZ18" s="118"/>
      <c r="FA18" s="118"/>
      <c r="FB18" s="118"/>
      <c r="FC18" s="118"/>
      <c r="FD18" s="118"/>
      <c r="FE18" s="118"/>
      <c r="FF18" s="118"/>
      <c r="FG18" s="118"/>
      <c r="FH18" s="118"/>
      <c r="FI18" s="118"/>
      <c r="FJ18" s="118"/>
      <c r="FK18" s="118"/>
      <c r="FL18" s="118"/>
      <c r="FM18" s="118"/>
      <c r="FN18" s="118"/>
      <c r="FO18" s="118"/>
      <c r="FP18" s="118"/>
      <c r="FQ18" s="118"/>
      <c r="FR18" s="118"/>
      <c r="FS18" s="118"/>
      <c r="FT18" s="118"/>
      <c r="FU18" s="118"/>
      <c r="FV18" s="118"/>
      <c r="FW18" s="118"/>
      <c r="FX18" s="118"/>
      <c r="FY18" s="118"/>
      <c r="FZ18" s="118"/>
      <c r="GA18" s="118"/>
      <c r="GB18" s="118"/>
      <c r="GC18" s="118"/>
      <c r="GD18" s="118"/>
      <c r="GE18" s="118"/>
      <c r="GF18" s="118"/>
      <c r="GG18" s="118"/>
      <c r="GH18" s="118"/>
      <c r="GI18" s="118"/>
      <c r="GJ18" s="118"/>
      <c r="GK18" s="118"/>
      <c r="GL18" s="118"/>
      <c r="GM18" s="118"/>
      <c r="GN18" s="118"/>
      <c r="GO18" s="118"/>
      <c r="GP18" s="118"/>
      <c r="GQ18" s="118"/>
      <c r="GR18" s="118"/>
      <c r="GS18" s="118"/>
      <c r="GT18" s="118"/>
      <c r="GU18" s="118"/>
      <c r="GV18" s="118"/>
      <c r="GW18" s="118"/>
      <c r="GX18" s="118"/>
      <c r="GY18" s="118"/>
      <c r="GZ18" s="118"/>
      <c r="HA18" s="118"/>
      <c r="HB18" s="118"/>
      <c r="HC18" s="118"/>
      <c r="HD18" s="118"/>
      <c r="HE18" s="118"/>
      <c r="HF18" s="118"/>
      <c r="HG18" s="118"/>
      <c r="HH18" s="118"/>
      <c r="HI18" s="118"/>
      <c r="HJ18" s="118"/>
      <c r="HK18" s="118"/>
      <c r="HL18" s="118"/>
      <c r="HM18" s="118"/>
      <c r="HN18" s="118"/>
      <c r="HO18" s="118"/>
      <c r="HP18" s="118"/>
      <c r="HQ18" s="118"/>
      <c r="HR18" s="118"/>
      <c r="HS18" s="118"/>
      <c r="HT18" s="118"/>
      <c r="HU18" s="118"/>
      <c r="HV18" s="118"/>
      <c r="HW18" s="118"/>
      <c r="HX18" s="118"/>
      <c r="HY18" s="118"/>
      <c r="HZ18" s="118"/>
      <c r="IA18" s="118"/>
      <c r="IB18" s="118"/>
      <c r="IC18" s="118"/>
      <c r="ID18" s="118"/>
      <c r="IE18" s="118"/>
      <c r="IF18" s="118"/>
      <c r="IG18" s="118"/>
      <c r="IH18" s="118"/>
      <c r="II18" s="118"/>
      <c r="IJ18" s="118"/>
      <c r="IK18" s="118"/>
      <c r="IL18" s="118"/>
      <c r="IM18" s="118"/>
      <c r="IN18" s="118"/>
      <c r="IO18" s="118"/>
      <c r="IP18" s="118"/>
      <c r="IQ18" s="118"/>
      <c r="IR18" s="118"/>
      <c r="IS18" s="118"/>
    </row>
    <row r="19" spans="1:253" ht="12">
      <c r="A19" s="115" t="s">
        <v>141</v>
      </c>
      <c r="B19" s="116"/>
      <c r="C19" s="116"/>
      <c r="D19" s="119"/>
      <c r="E19" s="111"/>
      <c r="F19" s="122" t="s">
        <v>33</v>
      </c>
      <c r="G19" s="114"/>
      <c r="H19" s="112"/>
      <c r="I19" s="113"/>
      <c r="J19" s="114"/>
      <c r="K19" s="112"/>
      <c r="L19" s="113"/>
      <c r="M19" s="114"/>
      <c r="N19" s="112"/>
      <c r="O19" s="113"/>
      <c r="P19" s="114"/>
      <c r="Q19" s="118"/>
      <c r="R19" s="118"/>
      <c r="S19" s="118"/>
      <c r="T19" s="118"/>
      <c r="U19" s="118"/>
      <c r="V19" s="118"/>
      <c r="W19" s="118"/>
      <c r="X19" s="118"/>
      <c r="Y19" s="118"/>
      <c r="Z19" s="118"/>
      <c r="AA19" s="118"/>
      <c r="AB19" s="118"/>
      <c r="AC19" s="118"/>
      <c r="AD19" s="118"/>
      <c r="AE19" s="118"/>
      <c r="AF19" s="118"/>
      <c r="AG19" s="118"/>
      <c r="AH19" s="118"/>
      <c r="AI19" s="118"/>
      <c r="AJ19" s="118"/>
      <c r="AK19" s="118"/>
      <c r="AL19" s="118"/>
      <c r="AM19" s="118"/>
      <c r="AN19" s="118"/>
      <c r="AO19" s="118"/>
      <c r="AP19" s="118"/>
      <c r="AQ19" s="118"/>
      <c r="AR19" s="118"/>
      <c r="AS19" s="118"/>
      <c r="AT19" s="118"/>
      <c r="AU19" s="118"/>
      <c r="AV19" s="118"/>
      <c r="AW19" s="118"/>
      <c r="AX19" s="118"/>
      <c r="AY19" s="118"/>
      <c r="AZ19" s="118"/>
      <c r="BA19" s="118"/>
      <c r="BB19" s="118"/>
      <c r="BC19" s="118"/>
      <c r="BD19" s="118"/>
      <c r="BE19" s="118"/>
      <c r="BF19" s="118"/>
      <c r="BG19" s="118"/>
      <c r="BH19" s="118"/>
      <c r="BI19" s="118"/>
      <c r="BJ19" s="118"/>
      <c r="BK19" s="118"/>
      <c r="BL19" s="118"/>
      <c r="BM19" s="118"/>
      <c r="BN19" s="118"/>
      <c r="BO19" s="118"/>
      <c r="BP19" s="118"/>
      <c r="BQ19" s="118"/>
      <c r="BR19" s="118"/>
      <c r="BS19" s="118"/>
      <c r="BT19" s="118"/>
      <c r="BU19" s="118"/>
      <c r="BV19" s="118"/>
      <c r="BW19" s="118"/>
      <c r="BX19" s="118"/>
      <c r="BY19" s="118"/>
      <c r="BZ19" s="118"/>
      <c r="CA19" s="118"/>
      <c r="CB19" s="118"/>
      <c r="CC19" s="118"/>
      <c r="CD19" s="118"/>
      <c r="CE19" s="118"/>
      <c r="CF19" s="118"/>
      <c r="CG19" s="118"/>
      <c r="CH19" s="118"/>
      <c r="CI19" s="118"/>
      <c r="CJ19" s="118"/>
      <c r="CK19" s="118"/>
      <c r="CL19" s="118"/>
      <c r="CM19" s="118"/>
      <c r="CN19" s="118"/>
      <c r="CO19" s="118"/>
      <c r="CP19" s="118"/>
      <c r="CQ19" s="118"/>
      <c r="CR19" s="118"/>
      <c r="CS19" s="118"/>
      <c r="CT19" s="118"/>
      <c r="CU19" s="118"/>
      <c r="CV19" s="118"/>
      <c r="CW19" s="118"/>
      <c r="CX19" s="118"/>
      <c r="CY19" s="118"/>
      <c r="CZ19" s="118"/>
      <c r="DA19" s="118"/>
      <c r="DB19" s="118"/>
      <c r="DC19" s="118"/>
      <c r="DD19" s="118"/>
      <c r="DE19" s="118"/>
      <c r="DF19" s="118"/>
      <c r="DG19" s="118"/>
      <c r="DH19" s="118"/>
      <c r="DI19" s="118"/>
      <c r="DJ19" s="118"/>
      <c r="DK19" s="118"/>
      <c r="DL19" s="118"/>
      <c r="DM19" s="118"/>
      <c r="DN19" s="118"/>
      <c r="DO19" s="118"/>
      <c r="DP19" s="118"/>
      <c r="DQ19" s="118"/>
      <c r="DR19" s="118"/>
      <c r="DS19" s="118"/>
      <c r="DT19" s="118"/>
      <c r="DU19" s="118"/>
      <c r="DV19" s="118"/>
      <c r="DW19" s="118"/>
      <c r="DX19" s="118"/>
      <c r="DY19" s="118"/>
      <c r="DZ19" s="118"/>
      <c r="EA19" s="118"/>
      <c r="EB19" s="118"/>
      <c r="EC19" s="118"/>
      <c r="ED19" s="118"/>
      <c r="EE19" s="118"/>
      <c r="EF19" s="118"/>
      <c r="EG19" s="118"/>
      <c r="EH19" s="118"/>
      <c r="EI19" s="118"/>
      <c r="EJ19" s="118"/>
      <c r="EK19" s="118"/>
      <c r="EL19" s="118"/>
      <c r="EM19" s="118"/>
      <c r="EN19" s="118"/>
      <c r="EO19" s="118"/>
      <c r="EP19" s="118"/>
      <c r="EQ19" s="118"/>
      <c r="ER19" s="118"/>
      <c r="ES19" s="118"/>
      <c r="ET19" s="118"/>
      <c r="EU19" s="118"/>
      <c r="EV19" s="118"/>
      <c r="EW19" s="118"/>
      <c r="EX19" s="118"/>
      <c r="EY19" s="118"/>
      <c r="EZ19" s="118"/>
      <c r="FA19" s="118"/>
      <c r="FB19" s="118"/>
      <c r="FC19" s="118"/>
      <c r="FD19" s="118"/>
      <c r="FE19" s="118"/>
      <c r="FF19" s="118"/>
      <c r="FG19" s="118"/>
      <c r="FH19" s="118"/>
      <c r="FI19" s="118"/>
      <c r="FJ19" s="118"/>
      <c r="FK19" s="118"/>
      <c r="FL19" s="118"/>
      <c r="FM19" s="118"/>
      <c r="FN19" s="118"/>
      <c r="FO19" s="118"/>
      <c r="FP19" s="118"/>
      <c r="FQ19" s="118"/>
      <c r="FR19" s="118"/>
      <c r="FS19" s="118"/>
      <c r="FT19" s="118"/>
      <c r="FU19" s="118"/>
      <c r="FV19" s="118"/>
      <c r="FW19" s="118"/>
      <c r="FX19" s="118"/>
      <c r="FY19" s="118"/>
      <c r="FZ19" s="118"/>
      <c r="GA19" s="118"/>
      <c r="GB19" s="118"/>
      <c r="GC19" s="118"/>
      <c r="GD19" s="118"/>
      <c r="GE19" s="118"/>
      <c r="GF19" s="118"/>
      <c r="GG19" s="118"/>
      <c r="GH19" s="118"/>
      <c r="GI19" s="118"/>
      <c r="GJ19" s="118"/>
      <c r="GK19" s="118"/>
      <c r="GL19" s="118"/>
      <c r="GM19" s="118"/>
      <c r="GN19" s="118"/>
      <c r="GO19" s="118"/>
      <c r="GP19" s="118"/>
      <c r="GQ19" s="118"/>
      <c r="GR19" s="118"/>
      <c r="GS19" s="118"/>
      <c r="GT19" s="118"/>
      <c r="GU19" s="118"/>
      <c r="GV19" s="118"/>
      <c r="GW19" s="118"/>
      <c r="GX19" s="118"/>
      <c r="GY19" s="118"/>
      <c r="GZ19" s="118"/>
      <c r="HA19" s="118"/>
      <c r="HB19" s="118"/>
      <c r="HC19" s="118"/>
      <c r="HD19" s="118"/>
      <c r="HE19" s="118"/>
      <c r="HF19" s="118"/>
      <c r="HG19" s="118"/>
      <c r="HH19" s="118"/>
      <c r="HI19" s="118"/>
      <c r="HJ19" s="118"/>
      <c r="HK19" s="118"/>
      <c r="HL19" s="118"/>
      <c r="HM19" s="118"/>
      <c r="HN19" s="118"/>
      <c r="HO19" s="118"/>
      <c r="HP19" s="118"/>
      <c r="HQ19" s="118"/>
      <c r="HR19" s="118"/>
      <c r="HS19" s="118"/>
      <c r="HT19" s="118"/>
      <c r="HU19" s="118"/>
      <c r="HV19" s="118"/>
      <c r="HW19" s="118"/>
      <c r="HX19" s="118"/>
      <c r="HY19" s="118"/>
      <c r="HZ19" s="118"/>
      <c r="IA19" s="118"/>
      <c r="IB19" s="118"/>
      <c r="IC19" s="118"/>
      <c r="ID19" s="118"/>
      <c r="IE19" s="118"/>
      <c r="IF19" s="118"/>
      <c r="IG19" s="118"/>
      <c r="IH19" s="118"/>
      <c r="II19" s="118"/>
      <c r="IJ19" s="118"/>
      <c r="IK19" s="118"/>
      <c r="IL19" s="118"/>
      <c r="IM19" s="118"/>
      <c r="IN19" s="118"/>
      <c r="IO19" s="118"/>
      <c r="IP19" s="118"/>
      <c r="IQ19" s="118"/>
      <c r="IR19" s="118"/>
      <c r="IS19" s="118"/>
    </row>
    <row r="20" spans="1:253" ht="12">
      <c r="A20" s="115" t="s">
        <v>142</v>
      </c>
      <c r="B20" s="116"/>
      <c r="C20" s="116"/>
      <c r="D20" s="119"/>
      <c r="E20" s="111"/>
      <c r="F20" s="122" t="s">
        <v>35</v>
      </c>
      <c r="G20" s="114"/>
      <c r="H20" s="112"/>
      <c r="I20" s="113"/>
      <c r="J20" s="114"/>
      <c r="K20" s="112"/>
      <c r="L20" s="113"/>
      <c r="M20" s="114"/>
      <c r="N20" s="112"/>
      <c r="O20" s="113"/>
      <c r="P20" s="114"/>
      <c r="Q20" s="118"/>
      <c r="R20" s="118"/>
      <c r="S20" s="118"/>
      <c r="T20" s="118"/>
      <c r="U20" s="118"/>
      <c r="V20" s="118"/>
      <c r="W20" s="118"/>
      <c r="X20" s="118"/>
      <c r="Y20" s="118"/>
      <c r="Z20" s="118"/>
      <c r="AA20" s="118"/>
      <c r="AB20" s="118"/>
      <c r="AC20" s="118"/>
      <c r="AD20" s="118"/>
      <c r="AE20" s="118"/>
      <c r="AF20" s="118"/>
      <c r="AG20" s="118"/>
      <c r="AH20" s="118"/>
      <c r="AI20" s="118"/>
      <c r="AJ20" s="118"/>
      <c r="AK20" s="118"/>
      <c r="AL20" s="118"/>
      <c r="AM20" s="118"/>
      <c r="AN20" s="118"/>
      <c r="AO20" s="118"/>
      <c r="AP20" s="118"/>
      <c r="AQ20" s="118"/>
      <c r="AR20" s="118"/>
      <c r="AS20" s="118"/>
      <c r="AT20" s="118"/>
      <c r="AU20" s="118"/>
      <c r="AV20" s="118"/>
      <c r="AW20" s="118"/>
      <c r="AX20" s="118"/>
      <c r="AY20" s="118"/>
      <c r="AZ20" s="118"/>
      <c r="BA20" s="118"/>
      <c r="BB20" s="118"/>
      <c r="BC20" s="118"/>
      <c r="BD20" s="118"/>
      <c r="BE20" s="118"/>
      <c r="BF20" s="118"/>
      <c r="BG20" s="118"/>
      <c r="BH20" s="118"/>
      <c r="BI20" s="118"/>
      <c r="BJ20" s="118"/>
      <c r="BK20" s="118"/>
      <c r="BL20" s="118"/>
      <c r="BM20" s="118"/>
      <c r="BN20" s="118"/>
      <c r="BO20" s="118"/>
      <c r="BP20" s="118"/>
      <c r="BQ20" s="118"/>
      <c r="BR20" s="118"/>
      <c r="BS20" s="118"/>
      <c r="BT20" s="118"/>
      <c r="BU20" s="118"/>
      <c r="BV20" s="118"/>
      <c r="BW20" s="118"/>
      <c r="BX20" s="118"/>
      <c r="BY20" s="118"/>
      <c r="BZ20" s="118"/>
      <c r="CA20" s="118"/>
      <c r="CB20" s="118"/>
      <c r="CC20" s="118"/>
      <c r="CD20" s="118"/>
      <c r="CE20" s="118"/>
      <c r="CF20" s="118"/>
      <c r="CG20" s="118"/>
      <c r="CH20" s="118"/>
      <c r="CI20" s="118"/>
      <c r="CJ20" s="118"/>
      <c r="CK20" s="118"/>
      <c r="CL20" s="118"/>
      <c r="CM20" s="118"/>
      <c r="CN20" s="118"/>
      <c r="CO20" s="118"/>
      <c r="CP20" s="118"/>
      <c r="CQ20" s="118"/>
      <c r="CR20" s="118"/>
      <c r="CS20" s="118"/>
      <c r="CT20" s="118"/>
      <c r="CU20" s="118"/>
      <c r="CV20" s="118"/>
      <c r="CW20" s="118"/>
      <c r="CX20" s="118"/>
      <c r="CY20" s="118"/>
      <c r="CZ20" s="118"/>
      <c r="DA20" s="118"/>
      <c r="DB20" s="118"/>
      <c r="DC20" s="118"/>
      <c r="DD20" s="118"/>
      <c r="DE20" s="118"/>
      <c r="DF20" s="118"/>
      <c r="DG20" s="118"/>
      <c r="DH20" s="118"/>
      <c r="DI20" s="118"/>
      <c r="DJ20" s="118"/>
      <c r="DK20" s="118"/>
      <c r="DL20" s="118"/>
      <c r="DM20" s="118"/>
      <c r="DN20" s="118"/>
      <c r="DO20" s="118"/>
      <c r="DP20" s="118"/>
      <c r="DQ20" s="118"/>
      <c r="DR20" s="118"/>
      <c r="DS20" s="118"/>
      <c r="DT20" s="118"/>
      <c r="DU20" s="118"/>
      <c r="DV20" s="118"/>
      <c r="DW20" s="118"/>
      <c r="DX20" s="118"/>
      <c r="DY20" s="118"/>
      <c r="DZ20" s="118"/>
      <c r="EA20" s="118"/>
      <c r="EB20" s="118"/>
      <c r="EC20" s="118"/>
      <c r="ED20" s="118"/>
      <c r="EE20" s="118"/>
      <c r="EF20" s="118"/>
      <c r="EG20" s="118"/>
      <c r="EH20" s="118"/>
      <c r="EI20" s="118"/>
      <c r="EJ20" s="118"/>
      <c r="EK20" s="118"/>
      <c r="EL20" s="118"/>
      <c r="EM20" s="118"/>
      <c r="EN20" s="118"/>
      <c r="EO20" s="118"/>
      <c r="EP20" s="118"/>
      <c r="EQ20" s="118"/>
      <c r="ER20" s="118"/>
      <c r="ES20" s="118"/>
      <c r="ET20" s="118"/>
      <c r="EU20" s="118"/>
      <c r="EV20" s="118"/>
      <c r="EW20" s="118"/>
      <c r="EX20" s="118"/>
      <c r="EY20" s="118"/>
      <c r="EZ20" s="118"/>
      <c r="FA20" s="118"/>
      <c r="FB20" s="118"/>
      <c r="FC20" s="118"/>
      <c r="FD20" s="118"/>
      <c r="FE20" s="118"/>
      <c r="FF20" s="118"/>
      <c r="FG20" s="118"/>
      <c r="FH20" s="118"/>
      <c r="FI20" s="118"/>
      <c r="FJ20" s="118"/>
      <c r="FK20" s="118"/>
      <c r="FL20" s="118"/>
      <c r="FM20" s="118"/>
      <c r="FN20" s="118"/>
      <c r="FO20" s="118"/>
      <c r="FP20" s="118"/>
      <c r="FQ20" s="118"/>
      <c r="FR20" s="118"/>
      <c r="FS20" s="118"/>
      <c r="FT20" s="118"/>
      <c r="FU20" s="118"/>
      <c r="FV20" s="118"/>
      <c r="FW20" s="118"/>
      <c r="FX20" s="118"/>
      <c r="FY20" s="118"/>
      <c r="FZ20" s="118"/>
      <c r="GA20" s="118"/>
      <c r="GB20" s="118"/>
      <c r="GC20" s="118"/>
      <c r="GD20" s="118"/>
      <c r="GE20" s="118"/>
      <c r="GF20" s="118"/>
      <c r="GG20" s="118"/>
      <c r="GH20" s="118"/>
      <c r="GI20" s="118"/>
      <c r="GJ20" s="118"/>
      <c r="GK20" s="118"/>
      <c r="GL20" s="118"/>
      <c r="GM20" s="118"/>
      <c r="GN20" s="118"/>
      <c r="GO20" s="118"/>
      <c r="GP20" s="118"/>
      <c r="GQ20" s="118"/>
      <c r="GR20" s="118"/>
      <c r="GS20" s="118"/>
      <c r="GT20" s="118"/>
      <c r="GU20" s="118"/>
      <c r="GV20" s="118"/>
      <c r="GW20" s="118"/>
      <c r="GX20" s="118"/>
      <c r="GY20" s="118"/>
      <c r="GZ20" s="118"/>
      <c r="HA20" s="118"/>
      <c r="HB20" s="118"/>
      <c r="HC20" s="118"/>
      <c r="HD20" s="118"/>
      <c r="HE20" s="118"/>
      <c r="HF20" s="118"/>
      <c r="HG20" s="118"/>
      <c r="HH20" s="118"/>
      <c r="HI20" s="118"/>
      <c r="HJ20" s="118"/>
      <c r="HK20" s="118"/>
      <c r="HL20" s="118"/>
      <c r="HM20" s="118"/>
      <c r="HN20" s="118"/>
      <c r="HO20" s="118"/>
      <c r="HP20" s="118"/>
      <c r="HQ20" s="118"/>
      <c r="HR20" s="118"/>
      <c r="HS20" s="118"/>
      <c r="HT20" s="118"/>
      <c r="HU20" s="118"/>
      <c r="HV20" s="118"/>
      <c r="HW20" s="118"/>
      <c r="HX20" s="118"/>
      <c r="HY20" s="118"/>
      <c r="HZ20" s="118"/>
      <c r="IA20" s="118"/>
      <c r="IB20" s="118"/>
      <c r="IC20" s="118"/>
      <c r="ID20" s="118"/>
      <c r="IE20" s="118"/>
      <c r="IF20" s="118"/>
      <c r="IG20" s="118"/>
      <c r="IH20" s="118"/>
      <c r="II20" s="118"/>
      <c r="IJ20" s="118"/>
      <c r="IK20" s="118"/>
      <c r="IL20" s="118"/>
      <c r="IM20" s="118"/>
      <c r="IN20" s="118"/>
      <c r="IO20" s="118"/>
      <c r="IP20" s="118"/>
      <c r="IQ20" s="118"/>
      <c r="IR20" s="118"/>
      <c r="IS20" s="118"/>
    </row>
    <row r="21" spans="1:253" ht="12">
      <c r="A21" s="115" t="s">
        <v>143</v>
      </c>
      <c r="B21" s="116"/>
      <c r="C21" s="116"/>
      <c r="D21" s="119"/>
      <c r="E21" s="111"/>
      <c r="F21" s="122" t="s">
        <v>36</v>
      </c>
      <c r="G21" s="114"/>
      <c r="H21" s="112"/>
      <c r="I21" s="113"/>
      <c r="J21" s="114"/>
      <c r="K21" s="112"/>
      <c r="L21" s="113"/>
      <c r="M21" s="114"/>
      <c r="N21" s="112"/>
      <c r="O21" s="113"/>
      <c r="P21" s="114"/>
      <c r="Q21" s="118"/>
      <c r="R21" s="118"/>
      <c r="S21" s="118"/>
      <c r="T21" s="118"/>
      <c r="U21" s="118"/>
      <c r="V21" s="118"/>
      <c r="W21" s="118"/>
      <c r="X21" s="118"/>
      <c r="Y21" s="118"/>
      <c r="Z21" s="118"/>
      <c r="AA21" s="118"/>
      <c r="AB21" s="118"/>
      <c r="AC21" s="118"/>
      <c r="AD21" s="118"/>
      <c r="AE21" s="118"/>
      <c r="AF21" s="118"/>
      <c r="AG21" s="118"/>
      <c r="AH21" s="118"/>
      <c r="AI21" s="118"/>
      <c r="AJ21" s="118"/>
      <c r="AK21" s="118"/>
      <c r="AL21" s="118"/>
      <c r="AM21" s="118"/>
      <c r="AN21" s="118"/>
      <c r="AO21" s="118"/>
      <c r="AP21" s="118"/>
      <c r="AQ21" s="118"/>
      <c r="AR21" s="118"/>
      <c r="AS21" s="118"/>
      <c r="AT21" s="118"/>
      <c r="AU21" s="118"/>
      <c r="AV21" s="118"/>
      <c r="AW21" s="118"/>
      <c r="AX21" s="118"/>
      <c r="AY21" s="118"/>
      <c r="AZ21" s="118"/>
      <c r="BA21" s="118"/>
      <c r="BB21" s="118"/>
      <c r="BC21" s="118"/>
      <c r="BD21" s="118"/>
      <c r="BE21" s="118"/>
      <c r="BF21" s="118"/>
      <c r="BG21" s="118"/>
      <c r="BH21" s="118"/>
      <c r="BI21" s="118"/>
      <c r="BJ21" s="118"/>
      <c r="BK21" s="118"/>
      <c r="BL21" s="118"/>
      <c r="BM21" s="118"/>
      <c r="BN21" s="118"/>
      <c r="BO21" s="118"/>
      <c r="BP21" s="118"/>
      <c r="BQ21" s="118"/>
      <c r="BR21" s="118"/>
      <c r="BS21" s="118"/>
      <c r="BT21" s="118"/>
      <c r="BU21" s="118"/>
      <c r="BV21" s="118"/>
      <c r="BW21" s="118"/>
      <c r="BX21" s="118"/>
      <c r="BY21" s="118"/>
      <c r="BZ21" s="118"/>
      <c r="CA21" s="118"/>
      <c r="CB21" s="118"/>
      <c r="CC21" s="118"/>
      <c r="CD21" s="118"/>
      <c r="CE21" s="118"/>
      <c r="CF21" s="118"/>
      <c r="CG21" s="118"/>
      <c r="CH21" s="118"/>
      <c r="CI21" s="118"/>
      <c r="CJ21" s="118"/>
      <c r="CK21" s="118"/>
      <c r="CL21" s="118"/>
      <c r="CM21" s="118"/>
      <c r="CN21" s="118"/>
      <c r="CO21" s="118"/>
      <c r="CP21" s="118"/>
      <c r="CQ21" s="118"/>
      <c r="CR21" s="118"/>
      <c r="CS21" s="118"/>
      <c r="CT21" s="118"/>
      <c r="CU21" s="118"/>
      <c r="CV21" s="118"/>
      <c r="CW21" s="118"/>
      <c r="CX21" s="118"/>
      <c r="CY21" s="118"/>
      <c r="CZ21" s="118"/>
      <c r="DA21" s="118"/>
      <c r="DB21" s="118"/>
      <c r="DC21" s="118"/>
      <c r="DD21" s="118"/>
      <c r="DE21" s="118"/>
      <c r="DF21" s="118"/>
      <c r="DG21" s="118"/>
      <c r="DH21" s="118"/>
      <c r="DI21" s="118"/>
      <c r="DJ21" s="118"/>
      <c r="DK21" s="118"/>
      <c r="DL21" s="118"/>
      <c r="DM21" s="118"/>
      <c r="DN21" s="118"/>
      <c r="DO21" s="118"/>
      <c r="DP21" s="118"/>
      <c r="DQ21" s="118"/>
      <c r="DR21" s="118"/>
      <c r="DS21" s="118"/>
      <c r="DT21" s="118"/>
      <c r="DU21" s="118"/>
      <c r="DV21" s="118"/>
      <c r="DW21" s="118"/>
      <c r="DX21" s="118"/>
      <c r="DY21" s="118"/>
      <c r="DZ21" s="118"/>
      <c r="EA21" s="118"/>
      <c r="EB21" s="118"/>
      <c r="EC21" s="118"/>
      <c r="ED21" s="118"/>
      <c r="EE21" s="118"/>
      <c r="EF21" s="118"/>
      <c r="EG21" s="118"/>
      <c r="EH21" s="118"/>
      <c r="EI21" s="118"/>
      <c r="EJ21" s="118"/>
      <c r="EK21" s="118"/>
      <c r="EL21" s="118"/>
      <c r="EM21" s="118"/>
      <c r="EN21" s="118"/>
      <c r="EO21" s="118"/>
      <c r="EP21" s="118"/>
      <c r="EQ21" s="118"/>
      <c r="ER21" s="118"/>
      <c r="ES21" s="118"/>
      <c r="ET21" s="118"/>
      <c r="EU21" s="118"/>
      <c r="EV21" s="118"/>
      <c r="EW21" s="118"/>
      <c r="EX21" s="118"/>
      <c r="EY21" s="118"/>
      <c r="EZ21" s="118"/>
      <c r="FA21" s="118"/>
      <c r="FB21" s="118"/>
      <c r="FC21" s="118"/>
      <c r="FD21" s="118"/>
      <c r="FE21" s="118"/>
      <c r="FF21" s="118"/>
      <c r="FG21" s="118"/>
      <c r="FH21" s="118"/>
      <c r="FI21" s="118"/>
      <c r="FJ21" s="118"/>
      <c r="FK21" s="118"/>
      <c r="FL21" s="118"/>
      <c r="FM21" s="118"/>
      <c r="FN21" s="118"/>
      <c r="FO21" s="118"/>
      <c r="FP21" s="118"/>
      <c r="FQ21" s="118"/>
      <c r="FR21" s="118"/>
      <c r="FS21" s="118"/>
      <c r="FT21" s="118"/>
      <c r="FU21" s="118"/>
      <c r="FV21" s="118"/>
      <c r="FW21" s="118"/>
      <c r="FX21" s="118"/>
      <c r="FY21" s="118"/>
      <c r="FZ21" s="118"/>
      <c r="GA21" s="118"/>
      <c r="GB21" s="118"/>
      <c r="GC21" s="118"/>
      <c r="GD21" s="118"/>
      <c r="GE21" s="118"/>
      <c r="GF21" s="118"/>
      <c r="GG21" s="118"/>
      <c r="GH21" s="118"/>
      <c r="GI21" s="118"/>
      <c r="GJ21" s="118"/>
      <c r="GK21" s="118"/>
      <c r="GL21" s="118"/>
      <c r="GM21" s="118"/>
      <c r="GN21" s="118"/>
      <c r="GO21" s="118"/>
      <c r="GP21" s="118"/>
      <c r="GQ21" s="118"/>
      <c r="GR21" s="118"/>
      <c r="GS21" s="118"/>
      <c r="GT21" s="118"/>
      <c r="GU21" s="118"/>
      <c r="GV21" s="118"/>
      <c r="GW21" s="118"/>
      <c r="GX21" s="118"/>
      <c r="GY21" s="118"/>
      <c r="GZ21" s="118"/>
      <c r="HA21" s="118"/>
      <c r="HB21" s="118"/>
      <c r="HC21" s="118"/>
      <c r="HD21" s="118"/>
      <c r="HE21" s="118"/>
      <c r="HF21" s="118"/>
      <c r="HG21" s="118"/>
      <c r="HH21" s="118"/>
      <c r="HI21" s="118"/>
      <c r="HJ21" s="118"/>
      <c r="HK21" s="118"/>
      <c r="HL21" s="118"/>
      <c r="HM21" s="118"/>
      <c r="HN21" s="118"/>
      <c r="HO21" s="118"/>
      <c r="HP21" s="118"/>
      <c r="HQ21" s="118"/>
      <c r="HR21" s="118"/>
      <c r="HS21" s="118"/>
      <c r="HT21" s="118"/>
      <c r="HU21" s="118"/>
      <c r="HV21" s="118"/>
      <c r="HW21" s="118"/>
      <c r="HX21" s="118"/>
      <c r="HY21" s="118"/>
      <c r="HZ21" s="118"/>
      <c r="IA21" s="118"/>
      <c r="IB21" s="118"/>
      <c r="IC21" s="118"/>
      <c r="ID21" s="118"/>
      <c r="IE21" s="118"/>
      <c r="IF21" s="118"/>
      <c r="IG21" s="118"/>
      <c r="IH21" s="118"/>
      <c r="II21" s="118"/>
      <c r="IJ21" s="118"/>
      <c r="IK21" s="118"/>
      <c r="IL21" s="118"/>
      <c r="IM21" s="118"/>
      <c r="IN21" s="118"/>
      <c r="IO21" s="118"/>
      <c r="IP21" s="118"/>
      <c r="IQ21" s="118"/>
      <c r="IR21" s="118"/>
      <c r="IS21" s="118"/>
    </row>
    <row r="22" spans="1:253" ht="12">
      <c r="A22" s="115" t="s">
        <v>144</v>
      </c>
      <c r="B22" s="116"/>
      <c r="C22" s="116"/>
      <c r="D22" s="119"/>
      <c r="E22" s="111"/>
      <c r="F22" s="122" t="s">
        <v>48</v>
      </c>
      <c r="G22" s="114"/>
      <c r="H22" s="112"/>
      <c r="I22" s="113"/>
      <c r="J22" s="114"/>
      <c r="K22" s="112"/>
      <c r="L22" s="113"/>
      <c r="M22" s="114"/>
      <c r="N22" s="112"/>
      <c r="O22" s="113"/>
      <c r="P22" s="114"/>
      <c r="Q22" s="118"/>
      <c r="R22" s="118"/>
      <c r="S22" s="118"/>
      <c r="T22" s="118"/>
      <c r="U22" s="118"/>
      <c r="V22" s="118"/>
      <c r="W22" s="118"/>
      <c r="X22" s="118"/>
      <c r="Y22" s="118"/>
      <c r="Z22" s="118"/>
      <c r="AA22" s="118"/>
      <c r="AB22" s="118"/>
      <c r="AC22" s="118"/>
      <c r="AD22" s="118"/>
      <c r="AE22" s="118"/>
      <c r="AF22" s="118"/>
      <c r="AG22" s="118"/>
      <c r="AH22" s="118"/>
      <c r="AI22" s="118"/>
      <c r="AJ22" s="118"/>
      <c r="AK22" s="118"/>
      <c r="AL22" s="118"/>
      <c r="AM22" s="118"/>
      <c r="AN22" s="118"/>
      <c r="AO22" s="118"/>
      <c r="AP22" s="118"/>
      <c r="AQ22" s="118"/>
      <c r="AR22" s="118"/>
      <c r="AS22" s="118"/>
      <c r="AT22" s="118"/>
      <c r="AU22" s="118"/>
      <c r="AV22" s="118"/>
      <c r="AW22" s="118"/>
      <c r="AX22" s="118"/>
      <c r="AY22" s="118"/>
      <c r="AZ22" s="118"/>
      <c r="BA22" s="118"/>
      <c r="BB22" s="118"/>
      <c r="BC22" s="118"/>
      <c r="BD22" s="118"/>
      <c r="BE22" s="118"/>
      <c r="BF22" s="118"/>
      <c r="BG22" s="118"/>
      <c r="BH22" s="118"/>
      <c r="BI22" s="118"/>
      <c r="BJ22" s="118"/>
      <c r="BK22" s="118"/>
      <c r="BL22" s="118"/>
      <c r="BM22" s="118"/>
      <c r="BN22" s="118"/>
      <c r="BO22" s="118"/>
      <c r="BP22" s="118"/>
      <c r="BQ22" s="118"/>
      <c r="BR22" s="118"/>
      <c r="BS22" s="118"/>
      <c r="BT22" s="118"/>
      <c r="BU22" s="118"/>
      <c r="BV22" s="118"/>
      <c r="BW22" s="118"/>
      <c r="BX22" s="118"/>
      <c r="BY22" s="118"/>
      <c r="BZ22" s="118"/>
      <c r="CA22" s="118"/>
      <c r="CB22" s="118"/>
      <c r="CC22" s="118"/>
      <c r="CD22" s="118"/>
      <c r="CE22" s="118"/>
      <c r="CF22" s="118"/>
      <c r="CG22" s="118"/>
      <c r="CH22" s="118"/>
      <c r="CI22" s="118"/>
      <c r="CJ22" s="118"/>
      <c r="CK22" s="118"/>
      <c r="CL22" s="118"/>
      <c r="CM22" s="118"/>
      <c r="CN22" s="118"/>
      <c r="CO22" s="118"/>
      <c r="CP22" s="118"/>
      <c r="CQ22" s="118"/>
      <c r="CR22" s="118"/>
      <c r="CS22" s="118"/>
      <c r="CT22" s="118"/>
      <c r="CU22" s="118"/>
      <c r="CV22" s="118"/>
      <c r="CW22" s="118"/>
      <c r="CX22" s="118"/>
      <c r="CY22" s="118"/>
      <c r="CZ22" s="118"/>
      <c r="DA22" s="118"/>
      <c r="DB22" s="118"/>
      <c r="DC22" s="118"/>
      <c r="DD22" s="118"/>
      <c r="DE22" s="118"/>
      <c r="DF22" s="118"/>
      <c r="DG22" s="118"/>
      <c r="DH22" s="118"/>
      <c r="DI22" s="118"/>
      <c r="DJ22" s="118"/>
      <c r="DK22" s="118"/>
      <c r="DL22" s="118"/>
      <c r="DM22" s="118"/>
      <c r="DN22" s="118"/>
      <c r="DO22" s="118"/>
      <c r="DP22" s="118"/>
      <c r="DQ22" s="118"/>
      <c r="DR22" s="118"/>
      <c r="DS22" s="118"/>
      <c r="DT22" s="118"/>
      <c r="DU22" s="118"/>
      <c r="DV22" s="118"/>
      <c r="DW22" s="118"/>
      <c r="DX22" s="118"/>
      <c r="DY22" s="118"/>
      <c r="DZ22" s="118"/>
      <c r="EA22" s="118"/>
      <c r="EB22" s="118"/>
      <c r="EC22" s="118"/>
      <c r="ED22" s="118"/>
      <c r="EE22" s="118"/>
      <c r="EF22" s="118"/>
      <c r="EG22" s="118"/>
      <c r="EH22" s="118"/>
      <c r="EI22" s="118"/>
      <c r="EJ22" s="118"/>
      <c r="EK22" s="118"/>
      <c r="EL22" s="118"/>
      <c r="EM22" s="118"/>
      <c r="EN22" s="118"/>
      <c r="EO22" s="118"/>
      <c r="EP22" s="118"/>
      <c r="EQ22" s="118"/>
      <c r="ER22" s="118"/>
      <c r="ES22" s="118"/>
      <c r="ET22" s="118"/>
      <c r="EU22" s="118"/>
      <c r="EV22" s="118"/>
      <c r="EW22" s="118"/>
      <c r="EX22" s="118"/>
      <c r="EY22" s="118"/>
      <c r="EZ22" s="118"/>
      <c r="FA22" s="118"/>
      <c r="FB22" s="118"/>
      <c r="FC22" s="118"/>
      <c r="FD22" s="118"/>
      <c r="FE22" s="118"/>
      <c r="FF22" s="118"/>
      <c r="FG22" s="118"/>
      <c r="FH22" s="118"/>
      <c r="FI22" s="118"/>
      <c r="FJ22" s="118"/>
      <c r="FK22" s="118"/>
      <c r="FL22" s="118"/>
      <c r="FM22" s="118"/>
      <c r="FN22" s="118"/>
      <c r="FO22" s="118"/>
      <c r="FP22" s="118"/>
      <c r="FQ22" s="118"/>
      <c r="FR22" s="118"/>
      <c r="FS22" s="118"/>
      <c r="FT22" s="118"/>
      <c r="FU22" s="118"/>
      <c r="FV22" s="118"/>
      <c r="FW22" s="118"/>
      <c r="FX22" s="118"/>
      <c r="FY22" s="118"/>
      <c r="FZ22" s="118"/>
      <c r="GA22" s="118"/>
      <c r="GB22" s="118"/>
      <c r="GC22" s="118"/>
      <c r="GD22" s="118"/>
      <c r="GE22" s="118"/>
      <c r="GF22" s="118"/>
      <c r="GG22" s="118"/>
      <c r="GH22" s="118"/>
      <c r="GI22" s="118"/>
      <c r="GJ22" s="118"/>
      <c r="GK22" s="118"/>
      <c r="GL22" s="118"/>
      <c r="GM22" s="118"/>
      <c r="GN22" s="118"/>
      <c r="GO22" s="118"/>
      <c r="GP22" s="118"/>
      <c r="GQ22" s="118"/>
      <c r="GR22" s="118"/>
      <c r="GS22" s="118"/>
      <c r="GT22" s="118"/>
      <c r="GU22" s="118"/>
      <c r="GV22" s="118"/>
      <c r="GW22" s="118"/>
      <c r="GX22" s="118"/>
      <c r="GY22" s="118"/>
      <c r="GZ22" s="118"/>
      <c r="HA22" s="118"/>
      <c r="HB22" s="118"/>
      <c r="HC22" s="118"/>
      <c r="HD22" s="118"/>
      <c r="HE22" s="118"/>
      <c r="HF22" s="118"/>
      <c r="HG22" s="118"/>
      <c r="HH22" s="118"/>
      <c r="HI22" s="118"/>
      <c r="HJ22" s="118"/>
      <c r="HK22" s="118"/>
      <c r="HL22" s="118"/>
      <c r="HM22" s="118"/>
      <c r="HN22" s="118"/>
      <c r="HO22" s="118"/>
      <c r="HP22" s="118"/>
      <c r="HQ22" s="118"/>
      <c r="HR22" s="118"/>
      <c r="HS22" s="118"/>
      <c r="HT22" s="118"/>
      <c r="HU22" s="118"/>
      <c r="HV22" s="118"/>
      <c r="HW22" s="118"/>
      <c r="HX22" s="118"/>
      <c r="HY22" s="118"/>
      <c r="HZ22" s="118"/>
      <c r="IA22" s="118"/>
      <c r="IB22" s="118"/>
      <c r="IC22" s="118"/>
      <c r="ID22" s="118"/>
      <c r="IE22" s="118"/>
      <c r="IF22" s="118"/>
      <c r="IG22" s="118"/>
      <c r="IH22" s="118"/>
      <c r="II22" s="118"/>
      <c r="IJ22" s="118"/>
      <c r="IK22" s="118"/>
      <c r="IL22" s="118"/>
      <c r="IM22" s="118"/>
      <c r="IN22" s="118"/>
      <c r="IO22" s="118"/>
      <c r="IP22" s="118"/>
      <c r="IQ22" s="118"/>
      <c r="IR22" s="118"/>
      <c r="IS22" s="118"/>
    </row>
    <row r="23" spans="1:253" ht="12">
      <c r="A23" s="115" t="s">
        <v>145</v>
      </c>
      <c r="B23" s="116"/>
      <c r="C23" s="116"/>
      <c r="D23" s="119"/>
      <c r="E23" s="111"/>
      <c r="F23" s="122" t="s">
        <v>49</v>
      </c>
      <c r="G23" s="114"/>
      <c r="H23" s="112"/>
      <c r="I23" s="113"/>
      <c r="J23" s="114"/>
      <c r="K23" s="112"/>
      <c r="L23" s="113"/>
      <c r="M23" s="114"/>
      <c r="N23" s="112"/>
      <c r="O23" s="113"/>
      <c r="P23" s="114"/>
      <c r="Q23" s="118"/>
      <c r="R23" s="118"/>
      <c r="S23" s="118"/>
      <c r="T23" s="118"/>
      <c r="U23" s="118"/>
      <c r="V23" s="118"/>
      <c r="W23" s="118"/>
      <c r="X23" s="118"/>
      <c r="Y23" s="118"/>
      <c r="Z23" s="118"/>
      <c r="AA23" s="118"/>
      <c r="AB23" s="118"/>
      <c r="AC23" s="118"/>
      <c r="AD23" s="118"/>
      <c r="AE23" s="118"/>
      <c r="AF23" s="118"/>
      <c r="AG23" s="118"/>
      <c r="AH23" s="118"/>
      <c r="AI23" s="118"/>
      <c r="AJ23" s="118"/>
      <c r="AK23" s="118"/>
      <c r="AL23" s="118"/>
      <c r="AM23" s="118"/>
      <c r="AN23" s="118"/>
      <c r="AO23" s="118"/>
      <c r="AP23" s="118"/>
      <c r="AQ23" s="118"/>
      <c r="AR23" s="118"/>
      <c r="AS23" s="118"/>
      <c r="AT23" s="118"/>
      <c r="AU23" s="118"/>
      <c r="AV23" s="118"/>
      <c r="AW23" s="118"/>
      <c r="AX23" s="118"/>
      <c r="AY23" s="118"/>
      <c r="AZ23" s="118"/>
      <c r="BA23" s="118"/>
      <c r="BB23" s="118"/>
      <c r="BC23" s="118"/>
      <c r="BD23" s="118"/>
      <c r="BE23" s="118"/>
      <c r="BF23" s="118"/>
      <c r="BG23" s="118"/>
      <c r="BH23" s="118"/>
      <c r="BI23" s="118"/>
      <c r="BJ23" s="118"/>
      <c r="BK23" s="118"/>
      <c r="BL23" s="118"/>
      <c r="BM23" s="118"/>
      <c r="BN23" s="118"/>
      <c r="BO23" s="118"/>
      <c r="BP23" s="118"/>
      <c r="BQ23" s="118"/>
      <c r="BR23" s="118"/>
      <c r="BS23" s="118"/>
      <c r="BT23" s="118"/>
      <c r="BU23" s="118"/>
      <c r="BV23" s="118"/>
      <c r="BW23" s="118"/>
      <c r="BX23" s="118"/>
      <c r="BY23" s="118"/>
      <c r="BZ23" s="118"/>
      <c r="CA23" s="118"/>
      <c r="CB23" s="118"/>
      <c r="CC23" s="118"/>
      <c r="CD23" s="118"/>
      <c r="CE23" s="118"/>
      <c r="CF23" s="118"/>
      <c r="CG23" s="118"/>
      <c r="CH23" s="118"/>
      <c r="CI23" s="118"/>
      <c r="CJ23" s="118"/>
      <c r="CK23" s="118"/>
      <c r="CL23" s="118"/>
      <c r="CM23" s="118"/>
      <c r="CN23" s="118"/>
      <c r="CO23" s="118"/>
      <c r="CP23" s="118"/>
      <c r="CQ23" s="118"/>
      <c r="CR23" s="118"/>
      <c r="CS23" s="118"/>
      <c r="CT23" s="118"/>
      <c r="CU23" s="118"/>
      <c r="CV23" s="118"/>
      <c r="CW23" s="118"/>
      <c r="CX23" s="118"/>
      <c r="CY23" s="118"/>
      <c r="CZ23" s="118"/>
      <c r="DA23" s="118"/>
      <c r="DB23" s="118"/>
      <c r="DC23" s="118"/>
      <c r="DD23" s="118"/>
      <c r="DE23" s="118"/>
      <c r="DF23" s="118"/>
      <c r="DG23" s="118"/>
      <c r="DH23" s="118"/>
      <c r="DI23" s="118"/>
      <c r="DJ23" s="118"/>
      <c r="DK23" s="118"/>
      <c r="DL23" s="118"/>
      <c r="DM23" s="118"/>
      <c r="DN23" s="118"/>
      <c r="DO23" s="118"/>
      <c r="DP23" s="118"/>
      <c r="DQ23" s="118"/>
      <c r="DR23" s="118"/>
      <c r="DS23" s="118"/>
      <c r="DT23" s="118"/>
      <c r="DU23" s="118"/>
      <c r="DV23" s="118"/>
      <c r="DW23" s="118"/>
      <c r="DX23" s="118"/>
      <c r="DY23" s="118"/>
      <c r="DZ23" s="118"/>
      <c r="EA23" s="118"/>
      <c r="EB23" s="118"/>
      <c r="EC23" s="118"/>
      <c r="ED23" s="118"/>
      <c r="EE23" s="118"/>
      <c r="EF23" s="118"/>
      <c r="EG23" s="118"/>
      <c r="EH23" s="118"/>
      <c r="EI23" s="118"/>
      <c r="EJ23" s="118"/>
      <c r="EK23" s="118"/>
      <c r="EL23" s="118"/>
      <c r="EM23" s="118"/>
      <c r="EN23" s="118"/>
      <c r="EO23" s="118"/>
      <c r="EP23" s="118"/>
      <c r="EQ23" s="118"/>
      <c r="ER23" s="118"/>
      <c r="ES23" s="118"/>
      <c r="ET23" s="118"/>
      <c r="EU23" s="118"/>
      <c r="EV23" s="118"/>
      <c r="EW23" s="118"/>
      <c r="EX23" s="118"/>
      <c r="EY23" s="118"/>
      <c r="EZ23" s="118"/>
      <c r="FA23" s="118"/>
      <c r="FB23" s="118"/>
      <c r="FC23" s="118"/>
      <c r="FD23" s="118"/>
      <c r="FE23" s="118"/>
      <c r="FF23" s="118"/>
      <c r="FG23" s="118"/>
      <c r="FH23" s="118"/>
      <c r="FI23" s="118"/>
      <c r="FJ23" s="118"/>
      <c r="FK23" s="118"/>
      <c r="FL23" s="118"/>
      <c r="FM23" s="118"/>
      <c r="FN23" s="118"/>
      <c r="FO23" s="118"/>
      <c r="FP23" s="118"/>
      <c r="FQ23" s="118"/>
      <c r="FR23" s="118"/>
      <c r="FS23" s="118"/>
      <c r="FT23" s="118"/>
      <c r="FU23" s="118"/>
      <c r="FV23" s="118"/>
      <c r="FW23" s="118"/>
      <c r="FX23" s="118"/>
      <c r="FY23" s="118"/>
      <c r="FZ23" s="118"/>
      <c r="GA23" s="118"/>
      <c r="GB23" s="118"/>
      <c r="GC23" s="118"/>
      <c r="GD23" s="118"/>
      <c r="GE23" s="118"/>
      <c r="GF23" s="118"/>
      <c r="GG23" s="118"/>
      <c r="GH23" s="118"/>
      <c r="GI23" s="118"/>
      <c r="GJ23" s="118"/>
      <c r="GK23" s="118"/>
      <c r="GL23" s="118"/>
      <c r="GM23" s="118"/>
      <c r="GN23" s="118"/>
      <c r="GO23" s="118"/>
      <c r="GP23" s="118"/>
      <c r="GQ23" s="118"/>
      <c r="GR23" s="118"/>
      <c r="GS23" s="118"/>
      <c r="GT23" s="118"/>
      <c r="GU23" s="118"/>
      <c r="GV23" s="118"/>
      <c r="GW23" s="118"/>
      <c r="GX23" s="118"/>
      <c r="GY23" s="118"/>
      <c r="GZ23" s="118"/>
      <c r="HA23" s="118"/>
      <c r="HB23" s="118"/>
      <c r="HC23" s="118"/>
      <c r="HD23" s="118"/>
      <c r="HE23" s="118"/>
      <c r="HF23" s="118"/>
      <c r="HG23" s="118"/>
      <c r="HH23" s="118"/>
      <c r="HI23" s="118"/>
      <c r="HJ23" s="118"/>
      <c r="HK23" s="118"/>
      <c r="HL23" s="118"/>
      <c r="HM23" s="118"/>
      <c r="HN23" s="118"/>
      <c r="HO23" s="118"/>
      <c r="HP23" s="118"/>
      <c r="HQ23" s="118"/>
      <c r="HR23" s="118"/>
      <c r="HS23" s="118"/>
      <c r="HT23" s="118"/>
      <c r="HU23" s="118"/>
      <c r="HV23" s="118"/>
      <c r="HW23" s="118"/>
      <c r="HX23" s="118"/>
      <c r="HY23" s="118"/>
      <c r="HZ23" s="118"/>
      <c r="IA23" s="118"/>
      <c r="IB23" s="118"/>
      <c r="IC23" s="118"/>
      <c r="ID23" s="118"/>
      <c r="IE23" s="118"/>
      <c r="IF23" s="118"/>
      <c r="IG23" s="118"/>
      <c r="IH23" s="118"/>
      <c r="II23" s="118"/>
      <c r="IJ23" s="118"/>
      <c r="IK23" s="118"/>
      <c r="IL23" s="118"/>
      <c r="IM23" s="118"/>
      <c r="IN23" s="118"/>
      <c r="IO23" s="118"/>
      <c r="IP23" s="118"/>
      <c r="IQ23" s="118"/>
      <c r="IR23" s="118"/>
      <c r="IS23" s="118"/>
    </row>
    <row r="24" spans="1:16" ht="12">
      <c r="A24" s="123"/>
      <c r="B24" s="171"/>
      <c r="C24" s="171"/>
      <c r="D24" s="172"/>
      <c r="E24" s="172"/>
      <c r="F24" s="172"/>
      <c r="G24" s="114"/>
      <c r="H24" s="112"/>
      <c r="I24" s="113"/>
      <c r="J24" s="114"/>
      <c r="K24" s="112"/>
      <c r="L24" s="113"/>
      <c r="M24" s="114"/>
      <c r="N24" s="112"/>
      <c r="O24" s="113"/>
      <c r="P24" s="114"/>
    </row>
    <row r="25" spans="1:16" ht="12.75">
      <c r="A25" s="120" t="s">
        <v>150</v>
      </c>
      <c r="B25" s="101"/>
      <c r="C25" s="101"/>
      <c r="D25" s="102"/>
      <c r="E25" s="102"/>
      <c r="F25" s="102"/>
      <c r="G25" s="114"/>
      <c r="H25" s="112"/>
      <c r="I25" s="113"/>
      <c r="J25" s="114"/>
      <c r="K25" s="112"/>
      <c r="L25" s="113"/>
      <c r="M25" s="114"/>
      <c r="N25" s="112"/>
      <c r="O25" s="113"/>
      <c r="P25" s="114"/>
    </row>
    <row r="26" spans="1:16" ht="12">
      <c r="A26" s="115" t="s">
        <v>146</v>
      </c>
      <c r="B26" s="101"/>
      <c r="C26" s="101"/>
      <c r="D26" s="102"/>
      <c r="E26" s="102"/>
      <c r="F26" s="102"/>
      <c r="G26" s="122">
        <v>0</v>
      </c>
      <c r="H26" s="112"/>
      <c r="I26" s="113"/>
      <c r="J26" s="114"/>
      <c r="K26" s="112"/>
      <c r="L26" s="113"/>
      <c r="M26" s="114"/>
      <c r="N26" s="112"/>
      <c r="O26" s="113"/>
      <c r="P26" s="114"/>
    </row>
    <row r="27" spans="1:16" ht="12">
      <c r="A27" s="115" t="s">
        <v>140</v>
      </c>
      <c r="B27" s="101"/>
      <c r="C27" s="101"/>
      <c r="D27" s="102"/>
      <c r="E27" s="102"/>
      <c r="F27" s="102"/>
      <c r="G27" s="122" t="s">
        <v>32</v>
      </c>
      <c r="H27" s="112"/>
      <c r="I27" s="113"/>
      <c r="J27" s="114"/>
      <c r="K27" s="112"/>
      <c r="L27" s="113"/>
      <c r="M27" s="114"/>
      <c r="N27" s="112"/>
      <c r="O27" s="113"/>
      <c r="P27" s="114"/>
    </row>
    <row r="28" spans="1:16" ht="12">
      <c r="A28" s="115" t="s">
        <v>141</v>
      </c>
      <c r="B28" s="101"/>
      <c r="C28" s="101"/>
      <c r="D28" s="102"/>
      <c r="E28" s="102"/>
      <c r="F28" s="102"/>
      <c r="G28" s="122" t="s">
        <v>33</v>
      </c>
      <c r="H28" s="112"/>
      <c r="I28" s="113"/>
      <c r="J28" s="114"/>
      <c r="K28" s="112"/>
      <c r="L28" s="113"/>
      <c r="M28" s="114"/>
      <c r="N28" s="112"/>
      <c r="O28" s="113"/>
      <c r="P28" s="114"/>
    </row>
    <row r="29" spans="1:16" ht="12">
      <c r="A29" s="115" t="s">
        <v>142</v>
      </c>
      <c r="B29" s="101"/>
      <c r="C29" s="101"/>
      <c r="D29" s="102"/>
      <c r="E29" s="102"/>
      <c r="F29" s="102"/>
      <c r="G29" s="122" t="s">
        <v>35</v>
      </c>
      <c r="H29" s="112"/>
      <c r="I29" s="113"/>
      <c r="J29" s="114"/>
      <c r="K29" s="112"/>
      <c r="L29" s="113"/>
      <c r="M29" s="114"/>
      <c r="N29" s="112"/>
      <c r="O29" s="113"/>
      <c r="P29" s="114"/>
    </row>
    <row r="30" spans="1:16" ht="12">
      <c r="A30" s="115" t="s">
        <v>143</v>
      </c>
      <c r="B30" s="101"/>
      <c r="C30" s="101"/>
      <c r="D30" s="102"/>
      <c r="E30" s="102"/>
      <c r="F30" s="102"/>
      <c r="G30" s="122" t="s">
        <v>36</v>
      </c>
      <c r="H30" s="112"/>
      <c r="I30" s="113"/>
      <c r="J30" s="114"/>
      <c r="K30" s="112"/>
      <c r="L30" s="113"/>
      <c r="M30" s="114"/>
      <c r="N30" s="112"/>
      <c r="O30" s="113"/>
      <c r="P30" s="114"/>
    </row>
    <row r="31" spans="1:16" ht="12">
      <c r="A31" s="115" t="s">
        <v>144</v>
      </c>
      <c r="B31" s="101"/>
      <c r="C31" s="101"/>
      <c r="D31" s="102"/>
      <c r="E31" s="102"/>
      <c r="F31" s="102"/>
      <c r="G31" s="122" t="s">
        <v>48</v>
      </c>
      <c r="H31" s="112"/>
      <c r="I31" s="113"/>
      <c r="J31" s="114"/>
      <c r="K31" s="112"/>
      <c r="L31" s="113"/>
      <c r="M31" s="114"/>
      <c r="N31" s="112"/>
      <c r="O31" s="113"/>
      <c r="P31" s="114"/>
    </row>
    <row r="32" spans="1:16" ht="12">
      <c r="A32" s="115" t="s">
        <v>145</v>
      </c>
      <c r="B32" s="101"/>
      <c r="C32" s="101"/>
      <c r="D32" s="102"/>
      <c r="E32" s="102"/>
      <c r="F32" s="102"/>
      <c r="G32" s="122" t="s">
        <v>49</v>
      </c>
      <c r="H32" s="112"/>
      <c r="I32" s="113"/>
      <c r="J32" s="114"/>
      <c r="K32" s="112"/>
      <c r="L32" s="113"/>
      <c r="M32" s="114"/>
      <c r="N32" s="112"/>
      <c r="O32" s="113"/>
      <c r="P32" s="114"/>
    </row>
    <row r="33" spans="1:16" ht="12">
      <c r="A33" s="123"/>
      <c r="B33" s="171"/>
      <c r="C33" s="171"/>
      <c r="D33" s="172"/>
      <c r="E33" s="172"/>
      <c r="F33" s="172"/>
      <c r="G33" s="172"/>
      <c r="H33" s="112"/>
      <c r="I33" s="113"/>
      <c r="J33" s="114"/>
      <c r="K33" s="112"/>
      <c r="L33" s="113"/>
      <c r="M33" s="114"/>
      <c r="N33" s="112"/>
      <c r="O33" s="113"/>
      <c r="P33" s="114"/>
    </row>
    <row r="34" spans="1:16" ht="12.75">
      <c r="A34" s="120" t="s">
        <v>151</v>
      </c>
      <c r="B34" s="101"/>
      <c r="C34" s="101"/>
      <c r="D34" s="102"/>
      <c r="E34" s="102"/>
      <c r="F34" s="102"/>
      <c r="G34" s="102"/>
      <c r="H34" s="112"/>
      <c r="I34" s="113"/>
      <c r="J34" s="114"/>
      <c r="K34" s="112"/>
      <c r="L34" s="113"/>
      <c r="M34" s="114"/>
      <c r="N34" s="112"/>
      <c r="O34" s="113"/>
      <c r="P34" s="114"/>
    </row>
    <row r="35" spans="1:16" ht="12">
      <c r="A35" s="115" t="s">
        <v>146</v>
      </c>
      <c r="B35" s="101"/>
      <c r="C35" s="101"/>
      <c r="D35" s="102"/>
      <c r="E35" s="102"/>
      <c r="F35" s="102"/>
      <c r="G35" s="102"/>
      <c r="H35" s="122">
        <v>0</v>
      </c>
      <c r="I35" s="113"/>
      <c r="J35" s="114"/>
      <c r="K35" s="112"/>
      <c r="L35" s="113"/>
      <c r="M35" s="114"/>
      <c r="N35" s="112"/>
      <c r="O35" s="113"/>
      <c r="P35" s="114"/>
    </row>
    <row r="36" spans="1:16" ht="12">
      <c r="A36" s="115" t="s">
        <v>140</v>
      </c>
      <c r="B36" s="101"/>
      <c r="C36" s="101"/>
      <c r="D36" s="102"/>
      <c r="E36" s="102"/>
      <c r="F36" s="102"/>
      <c r="G36" s="102"/>
      <c r="H36" s="122" t="s">
        <v>32</v>
      </c>
      <c r="I36" s="113"/>
      <c r="J36" s="114"/>
      <c r="K36" s="112"/>
      <c r="L36" s="113"/>
      <c r="M36" s="114"/>
      <c r="N36" s="112"/>
      <c r="O36" s="113"/>
      <c r="P36" s="114"/>
    </row>
    <row r="37" spans="1:16" ht="12">
      <c r="A37" s="115" t="s">
        <v>141</v>
      </c>
      <c r="B37" s="101"/>
      <c r="C37" s="101"/>
      <c r="D37" s="102"/>
      <c r="E37" s="102"/>
      <c r="F37" s="102"/>
      <c r="G37" s="102"/>
      <c r="H37" s="122" t="s">
        <v>33</v>
      </c>
      <c r="I37" s="113"/>
      <c r="J37" s="114"/>
      <c r="K37" s="112"/>
      <c r="L37" s="113"/>
      <c r="M37" s="114"/>
      <c r="N37" s="112"/>
      <c r="O37" s="113"/>
      <c r="P37" s="114"/>
    </row>
    <row r="38" spans="1:16" ht="12">
      <c r="A38" s="115" t="s">
        <v>142</v>
      </c>
      <c r="B38" s="101"/>
      <c r="C38" s="101"/>
      <c r="D38" s="102"/>
      <c r="E38" s="102"/>
      <c r="F38" s="102"/>
      <c r="G38" s="102"/>
      <c r="H38" s="122" t="s">
        <v>35</v>
      </c>
      <c r="I38" s="113"/>
      <c r="J38" s="114"/>
      <c r="K38" s="112"/>
      <c r="L38" s="113"/>
      <c r="M38" s="114"/>
      <c r="N38" s="112"/>
      <c r="O38" s="113"/>
      <c r="P38" s="114"/>
    </row>
    <row r="39" spans="1:16" ht="12">
      <c r="A39" s="115" t="s">
        <v>143</v>
      </c>
      <c r="B39" s="101"/>
      <c r="C39" s="101"/>
      <c r="D39" s="102"/>
      <c r="E39" s="102"/>
      <c r="F39" s="102"/>
      <c r="G39" s="102"/>
      <c r="H39" s="122" t="s">
        <v>36</v>
      </c>
      <c r="I39" s="113"/>
      <c r="J39" s="114"/>
      <c r="K39" s="112"/>
      <c r="L39" s="113"/>
      <c r="M39" s="114"/>
      <c r="N39" s="112"/>
      <c r="O39" s="113"/>
      <c r="P39" s="114"/>
    </row>
    <row r="40" spans="1:16" ht="12">
      <c r="A40" s="115" t="s">
        <v>144</v>
      </c>
      <c r="B40" s="101"/>
      <c r="C40" s="101"/>
      <c r="D40" s="102"/>
      <c r="E40" s="102"/>
      <c r="F40" s="102"/>
      <c r="G40" s="102"/>
      <c r="H40" s="122" t="s">
        <v>48</v>
      </c>
      <c r="I40" s="113"/>
      <c r="J40" s="114"/>
      <c r="K40" s="112"/>
      <c r="L40" s="113"/>
      <c r="M40" s="114"/>
      <c r="N40" s="112"/>
      <c r="O40" s="113"/>
      <c r="P40" s="114"/>
    </row>
    <row r="41" spans="1:16" ht="12">
      <c r="A41" s="115" t="s">
        <v>145</v>
      </c>
      <c r="B41" s="101"/>
      <c r="C41" s="101"/>
      <c r="D41" s="102"/>
      <c r="E41" s="102"/>
      <c r="F41" s="102"/>
      <c r="G41" s="102"/>
      <c r="H41" s="122" t="s">
        <v>49</v>
      </c>
      <c r="I41" s="113"/>
      <c r="J41" s="114"/>
      <c r="K41" s="112"/>
      <c r="L41" s="113"/>
      <c r="M41" s="114"/>
      <c r="N41" s="112"/>
      <c r="O41" s="113"/>
      <c r="P41" s="114"/>
    </row>
    <row r="42" spans="1:16" ht="12">
      <c r="A42" s="123"/>
      <c r="B42" s="171"/>
      <c r="C42" s="171"/>
      <c r="D42" s="172"/>
      <c r="E42" s="172"/>
      <c r="F42" s="172"/>
      <c r="G42" s="172"/>
      <c r="H42" s="172"/>
      <c r="I42" s="113"/>
      <c r="J42" s="114"/>
      <c r="K42" s="112"/>
      <c r="L42" s="113"/>
      <c r="M42" s="114"/>
      <c r="N42" s="112"/>
      <c r="O42" s="113"/>
      <c r="P42" s="114"/>
    </row>
    <row r="43" spans="1:16" ht="12.75">
      <c r="A43" s="120" t="s">
        <v>152</v>
      </c>
      <c r="B43" s="101"/>
      <c r="C43" s="101"/>
      <c r="D43" s="102"/>
      <c r="E43" s="102"/>
      <c r="F43" s="102"/>
      <c r="G43" s="102"/>
      <c r="H43" s="102"/>
      <c r="I43" s="113"/>
      <c r="J43" s="114"/>
      <c r="K43" s="112"/>
      <c r="L43" s="113"/>
      <c r="M43" s="114"/>
      <c r="N43" s="112"/>
      <c r="O43" s="113"/>
      <c r="P43" s="114"/>
    </row>
    <row r="44" spans="1:16" ht="12">
      <c r="A44" s="115" t="s">
        <v>146</v>
      </c>
      <c r="B44" s="101"/>
      <c r="C44" s="101"/>
      <c r="D44" s="102"/>
      <c r="E44" s="102"/>
      <c r="F44" s="102"/>
      <c r="G44" s="102"/>
      <c r="H44" s="102"/>
      <c r="I44" s="122">
        <v>0</v>
      </c>
      <c r="J44" s="114"/>
      <c r="K44" s="112"/>
      <c r="L44" s="113"/>
      <c r="M44" s="114"/>
      <c r="N44" s="112"/>
      <c r="O44" s="113"/>
      <c r="P44" s="114"/>
    </row>
    <row r="45" spans="1:16" ht="12">
      <c r="A45" s="115" t="s">
        <v>140</v>
      </c>
      <c r="B45" s="101"/>
      <c r="C45" s="101"/>
      <c r="D45" s="102"/>
      <c r="E45" s="102"/>
      <c r="F45" s="102"/>
      <c r="G45" s="102"/>
      <c r="H45" s="102"/>
      <c r="I45" s="122" t="s">
        <v>32</v>
      </c>
      <c r="J45" s="114"/>
      <c r="K45" s="112"/>
      <c r="L45" s="113"/>
      <c r="M45" s="114"/>
      <c r="N45" s="112"/>
      <c r="O45" s="113"/>
      <c r="P45" s="114"/>
    </row>
    <row r="46" spans="1:16" ht="12">
      <c r="A46" s="115" t="s">
        <v>141</v>
      </c>
      <c r="B46" s="101"/>
      <c r="C46" s="101"/>
      <c r="D46" s="102"/>
      <c r="E46" s="102"/>
      <c r="F46" s="102"/>
      <c r="G46" s="102"/>
      <c r="H46" s="102"/>
      <c r="I46" s="122" t="s">
        <v>33</v>
      </c>
      <c r="J46" s="114"/>
      <c r="K46" s="112"/>
      <c r="L46" s="113"/>
      <c r="M46" s="114"/>
      <c r="N46" s="112"/>
      <c r="O46" s="113"/>
      <c r="P46" s="114"/>
    </row>
    <row r="47" spans="1:16" ht="12">
      <c r="A47" s="115" t="s">
        <v>142</v>
      </c>
      <c r="B47" s="101"/>
      <c r="C47" s="101"/>
      <c r="D47" s="102"/>
      <c r="E47" s="102"/>
      <c r="F47" s="102"/>
      <c r="G47" s="102"/>
      <c r="H47" s="102"/>
      <c r="I47" s="122" t="s">
        <v>35</v>
      </c>
      <c r="J47" s="114"/>
      <c r="K47" s="112"/>
      <c r="L47" s="113"/>
      <c r="M47" s="114"/>
      <c r="N47" s="112"/>
      <c r="O47" s="113"/>
      <c r="P47" s="114"/>
    </row>
    <row r="48" spans="1:16" ht="12">
      <c r="A48" s="115" t="s">
        <v>143</v>
      </c>
      <c r="B48" s="101"/>
      <c r="C48" s="101"/>
      <c r="D48" s="102"/>
      <c r="E48" s="102"/>
      <c r="F48" s="102"/>
      <c r="G48" s="102"/>
      <c r="H48" s="102"/>
      <c r="I48" s="122" t="s">
        <v>36</v>
      </c>
      <c r="J48" s="114"/>
      <c r="K48" s="112"/>
      <c r="L48" s="113"/>
      <c r="M48" s="114"/>
      <c r="N48" s="112"/>
      <c r="O48" s="113"/>
      <c r="P48" s="114"/>
    </row>
    <row r="49" spans="1:16" ht="12">
      <c r="A49" s="115" t="s">
        <v>144</v>
      </c>
      <c r="B49" s="101"/>
      <c r="C49" s="101"/>
      <c r="D49" s="102"/>
      <c r="E49" s="102"/>
      <c r="F49" s="102"/>
      <c r="G49" s="102"/>
      <c r="H49" s="102"/>
      <c r="I49" s="122" t="s">
        <v>48</v>
      </c>
      <c r="J49" s="114"/>
      <c r="K49" s="112"/>
      <c r="L49" s="113"/>
      <c r="M49" s="114"/>
      <c r="N49" s="112"/>
      <c r="O49" s="113"/>
      <c r="P49" s="114"/>
    </row>
    <row r="50" spans="1:16" ht="12">
      <c r="A50" s="115" t="s">
        <v>145</v>
      </c>
      <c r="B50" s="101"/>
      <c r="C50" s="101"/>
      <c r="D50" s="102"/>
      <c r="E50" s="102"/>
      <c r="F50" s="102"/>
      <c r="G50" s="102"/>
      <c r="H50" s="102"/>
      <c r="I50" s="122" t="s">
        <v>49</v>
      </c>
      <c r="J50" s="114"/>
      <c r="K50" s="112"/>
      <c r="L50" s="113"/>
      <c r="M50" s="114"/>
      <c r="N50" s="112"/>
      <c r="O50" s="113"/>
      <c r="P50" s="114"/>
    </row>
    <row r="51" spans="1:16" ht="12">
      <c r="A51" s="123"/>
      <c r="B51" s="171"/>
      <c r="C51" s="171"/>
      <c r="D51" s="172"/>
      <c r="E51" s="172"/>
      <c r="F51" s="172"/>
      <c r="G51" s="172"/>
      <c r="H51" s="172"/>
      <c r="I51" s="172"/>
      <c r="J51" s="114"/>
      <c r="K51" s="112"/>
      <c r="L51" s="113"/>
      <c r="M51" s="114"/>
      <c r="N51" s="112"/>
      <c r="O51" s="113"/>
      <c r="P51" s="114"/>
    </row>
    <row r="52" spans="1:16" ht="12.75">
      <c r="A52" s="120" t="s">
        <v>153</v>
      </c>
      <c r="B52" s="101"/>
      <c r="C52" s="101"/>
      <c r="D52" s="102"/>
      <c r="E52" s="102"/>
      <c r="F52" s="102"/>
      <c r="G52" s="102"/>
      <c r="H52" s="102"/>
      <c r="I52" s="102"/>
      <c r="J52" s="114"/>
      <c r="K52" s="112"/>
      <c r="L52" s="113"/>
      <c r="M52" s="114"/>
      <c r="N52" s="112"/>
      <c r="O52" s="113"/>
      <c r="P52" s="114"/>
    </row>
    <row r="53" spans="1:16" ht="12">
      <c r="A53" s="115" t="s">
        <v>146</v>
      </c>
      <c r="B53" s="101"/>
      <c r="C53" s="101"/>
      <c r="D53" s="102"/>
      <c r="E53" s="102"/>
      <c r="F53" s="102"/>
      <c r="G53" s="102"/>
      <c r="H53" s="102"/>
      <c r="I53" s="102"/>
      <c r="J53" s="122">
        <v>0</v>
      </c>
      <c r="K53" s="112"/>
      <c r="L53" s="113"/>
      <c r="M53" s="114"/>
      <c r="N53" s="112"/>
      <c r="O53" s="113"/>
      <c r="P53" s="114"/>
    </row>
    <row r="54" spans="1:16" ht="12">
      <c r="A54" s="115" t="s">
        <v>140</v>
      </c>
      <c r="B54" s="101"/>
      <c r="C54" s="101"/>
      <c r="D54" s="102"/>
      <c r="E54" s="102"/>
      <c r="F54" s="102"/>
      <c r="G54" s="102"/>
      <c r="H54" s="102"/>
      <c r="I54" s="102"/>
      <c r="J54" s="122" t="s">
        <v>32</v>
      </c>
      <c r="K54" s="112"/>
      <c r="L54" s="113"/>
      <c r="M54" s="114"/>
      <c r="N54" s="112"/>
      <c r="O54" s="113"/>
      <c r="P54" s="114"/>
    </row>
    <row r="55" spans="1:16" ht="12">
      <c r="A55" s="115" t="s">
        <v>141</v>
      </c>
      <c r="B55" s="101"/>
      <c r="C55" s="101"/>
      <c r="D55" s="102"/>
      <c r="E55" s="102"/>
      <c r="F55" s="102"/>
      <c r="G55" s="102"/>
      <c r="H55" s="102"/>
      <c r="I55" s="102"/>
      <c r="J55" s="122" t="s">
        <v>33</v>
      </c>
      <c r="K55" s="112"/>
      <c r="L55" s="113"/>
      <c r="M55" s="114"/>
      <c r="N55" s="112"/>
      <c r="O55" s="113"/>
      <c r="P55" s="114"/>
    </row>
    <row r="56" spans="1:16" ht="12">
      <c r="A56" s="115" t="s">
        <v>142</v>
      </c>
      <c r="B56" s="101"/>
      <c r="C56" s="101"/>
      <c r="D56" s="102"/>
      <c r="E56" s="102"/>
      <c r="F56" s="102"/>
      <c r="G56" s="102"/>
      <c r="H56" s="102"/>
      <c r="I56" s="102"/>
      <c r="J56" s="122" t="s">
        <v>35</v>
      </c>
      <c r="K56" s="112"/>
      <c r="L56" s="113"/>
      <c r="M56" s="114"/>
      <c r="N56" s="112"/>
      <c r="O56" s="113"/>
      <c r="P56" s="114"/>
    </row>
    <row r="57" spans="1:16" ht="12">
      <c r="A57" s="115" t="s">
        <v>143</v>
      </c>
      <c r="B57" s="101"/>
      <c r="C57" s="101"/>
      <c r="D57" s="102"/>
      <c r="E57" s="102"/>
      <c r="F57" s="102"/>
      <c r="G57" s="102"/>
      <c r="H57" s="102"/>
      <c r="I57" s="102"/>
      <c r="J57" s="122" t="s">
        <v>36</v>
      </c>
      <c r="K57" s="112"/>
      <c r="L57" s="113"/>
      <c r="M57" s="114"/>
      <c r="N57" s="112"/>
      <c r="O57" s="113"/>
      <c r="P57" s="114"/>
    </row>
    <row r="58" spans="1:16" ht="12">
      <c r="A58" s="115" t="s">
        <v>144</v>
      </c>
      <c r="B58" s="101"/>
      <c r="C58" s="101"/>
      <c r="D58" s="102"/>
      <c r="E58" s="102"/>
      <c r="F58" s="102"/>
      <c r="G58" s="102"/>
      <c r="H58" s="102"/>
      <c r="I58" s="102"/>
      <c r="J58" s="122" t="s">
        <v>48</v>
      </c>
      <c r="K58" s="112"/>
      <c r="L58" s="113"/>
      <c r="M58" s="114"/>
      <c r="N58" s="112"/>
      <c r="O58" s="113"/>
      <c r="P58" s="114"/>
    </row>
    <row r="59" spans="1:16" ht="12">
      <c r="A59" s="115" t="s">
        <v>145</v>
      </c>
      <c r="B59" s="101"/>
      <c r="C59" s="101"/>
      <c r="D59" s="102"/>
      <c r="E59" s="102"/>
      <c r="F59" s="102"/>
      <c r="G59" s="102"/>
      <c r="H59" s="102"/>
      <c r="I59" s="102"/>
      <c r="J59" s="122" t="s">
        <v>49</v>
      </c>
      <c r="K59" s="112"/>
      <c r="L59" s="113"/>
      <c r="M59" s="114"/>
      <c r="N59" s="112"/>
      <c r="O59" s="113"/>
      <c r="P59" s="114"/>
    </row>
    <row r="60" spans="1:16" ht="12">
      <c r="A60" s="123"/>
      <c r="B60" s="171"/>
      <c r="C60" s="171"/>
      <c r="D60" s="172"/>
      <c r="E60" s="172"/>
      <c r="F60" s="172"/>
      <c r="G60" s="172"/>
      <c r="H60" s="172"/>
      <c r="I60" s="172"/>
      <c r="J60" s="182"/>
      <c r="K60" s="112"/>
      <c r="L60" s="113"/>
      <c r="M60" s="114"/>
      <c r="N60" s="112"/>
      <c r="O60" s="113"/>
      <c r="P60" s="114"/>
    </row>
    <row r="61" spans="1:16" ht="12.75">
      <c r="A61" s="192" t="s">
        <v>158</v>
      </c>
      <c r="K61" s="112"/>
      <c r="L61" s="113"/>
      <c r="M61" s="114"/>
      <c r="N61" s="112"/>
      <c r="O61" s="113"/>
      <c r="P61" s="114"/>
    </row>
    <row r="62" spans="1:16" ht="12">
      <c r="A62" s="190"/>
      <c r="K62" s="189">
        <v>0</v>
      </c>
      <c r="L62" s="189">
        <v>0</v>
      </c>
      <c r="M62" s="189">
        <v>0</v>
      </c>
      <c r="N62" s="189">
        <v>0</v>
      </c>
      <c r="O62" s="189">
        <v>0</v>
      </c>
      <c r="P62" s="114"/>
    </row>
    <row r="63" spans="1:16" ht="12">
      <c r="A63" s="191"/>
      <c r="B63" s="171"/>
      <c r="C63" s="171"/>
      <c r="D63" s="172"/>
      <c r="E63" s="172"/>
      <c r="F63" s="172"/>
      <c r="G63" s="172"/>
      <c r="H63" s="172"/>
      <c r="I63" s="172"/>
      <c r="J63" s="172"/>
      <c r="K63" s="172"/>
      <c r="L63" s="172"/>
      <c r="M63" s="172"/>
      <c r="N63" s="172"/>
      <c r="O63" s="172"/>
      <c r="P63" s="114"/>
    </row>
    <row r="64" spans="1:16" ht="12.75">
      <c r="A64" s="109" t="s">
        <v>156</v>
      </c>
      <c r="P64" s="114"/>
    </row>
    <row r="65" spans="1:16" ht="12">
      <c r="A65" s="191" t="s">
        <v>190</v>
      </c>
      <c r="B65" s="171"/>
      <c r="C65" s="171"/>
      <c r="D65" s="172"/>
      <c r="E65" s="172"/>
      <c r="F65" s="172"/>
      <c r="G65" s="172"/>
      <c r="H65" s="172"/>
      <c r="I65" s="172"/>
      <c r="J65" s="172"/>
      <c r="K65" s="172"/>
      <c r="L65" s="172"/>
      <c r="M65" s="172"/>
      <c r="N65" s="172"/>
      <c r="O65" s="172"/>
      <c r="P65" s="262" t="s">
        <v>191</v>
      </c>
    </row>
  </sheetData>
  <sheetProtection/>
  <mergeCells count="1">
    <mergeCell ref="B3:C3"/>
  </mergeCells>
  <printOptions/>
  <pageMargins left="0.5118110236220472" right="0.5118110236220472" top="0.7874015748031497" bottom="0.7874015748031497" header="0.31496062992125984" footer="0.31496062992125984"/>
  <pageSetup horizontalDpi="1200" verticalDpi="1200" orientation="portrait" paperSize="9" scale="80" r:id="rId1"/>
</worksheet>
</file>

<file path=xl/worksheets/sheet3.xml><?xml version="1.0" encoding="utf-8"?>
<worksheet xmlns="http://schemas.openxmlformats.org/spreadsheetml/2006/main" xmlns:r="http://schemas.openxmlformats.org/officeDocument/2006/relationships">
  <dimension ref="A1:W19"/>
  <sheetViews>
    <sheetView showGridLines="0" showRowColHeaders="0" zoomScalePageLayoutView="0" workbookViewId="0" topLeftCell="A1">
      <pane ySplit="3" topLeftCell="A4" activePane="bottomLeft" state="frozen"/>
      <selection pane="topLeft" activeCell="A1" sqref="A1"/>
      <selection pane="bottomLeft" activeCell="Y40" sqref="Y40"/>
    </sheetView>
  </sheetViews>
  <sheetFormatPr defaultColWidth="11.421875" defaultRowHeight="15"/>
  <cols>
    <col min="1" max="1" width="4.57421875" style="60" customWidth="1"/>
    <col min="2" max="4" width="11.421875" style="60" customWidth="1"/>
    <col min="5" max="5" width="32.8515625" style="60" customWidth="1"/>
    <col min="6" max="6" width="6.421875" style="60" customWidth="1"/>
    <col min="7" max="7" width="3.7109375" style="88" customWidth="1"/>
    <col min="8" max="18" width="3.28125" style="88" customWidth="1"/>
    <col min="19" max="19" width="4.00390625" style="60" customWidth="1"/>
    <col min="20" max="20" width="3.57421875" style="60" customWidth="1"/>
    <col min="21" max="22" width="0" style="179" hidden="1" customWidth="1"/>
    <col min="23" max="16384" width="11.421875" style="60" customWidth="1"/>
  </cols>
  <sheetData>
    <row r="1" spans="1:23" ht="18">
      <c r="A1" s="141" t="s">
        <v>147</v>
      </c>
      <c r="B1" s="57"/>
      <c r="C1" s="57"/>
      <c r="D1" s="57"/>
      <c r="E1" s="57"/>
      <c r="F1" s="57"/>
      <c r="G1" s="58"/>
      <c r="H1" s="58"/>
      <c r="I1" s="58"/>
      <c r="J1" s="58"/>
      <c r="K1" s="58"/>
      <c r="L1" s="58"/>
      <c r="M1" s="58"/>
      <c r="N1" s="58"/>
      <c r="O1" s="58"/>
      <c r="P1" s="58"/>
      <c r="Q1" s="58"/>
      <c r="R1" s="58"/>
      <c r="S1" s="59"/>
      <c r="U1" s="176" t="s">
        <v>59</v>
      </c>
      <c r="V1" s="176" t="s">
        <v>60</v>
      </c>
      <c r="W1" s="27"/>
    </row>
    <row r="2" spans="1:22" ht="13.5">
      <c r="A2" s="61"/>
      <c r="B2" s="62"/>
      <c r="C2" s="62"/>
      <c r="D2" s="62"/>
      <c r="E2" s="62"/>
      <c r="F2" s="63" t="s">
        <v>159</v>
      </c>
      <c r="G2" s="64">
        <v>4</v>
      </c>
      <c r="H2" s="64">
        <v>5</v>
      </c>
      <c r="I2" s="64">
        <v>6</v>
      </c>
      <c r="J2" s="64">
        <v>7</v>
      </c>
      <c r="K2" s="64">
        <v>8</v>
      </c>
      <c r="L2" s="64">
        <v>9</v>
      </c>
      <c r="M2" s="65">
        <v>10</v>
      </c>
      <c r="N2" s="64">
        <v>11</v>
      </c>
      <c r="O2" s="64">
        <v>12</v>
      </c>
      <c r="P2" s="64">
        <v>13</v>
      </c>
      <c r="Q2" s="64">
        <v>14</v>
      </c>
      <c r="R2" s="64">
        <v>15</v>
      </c>
      <c r="S2" s="66"/>
      <c r="U2" s="177">
        <f>SUM(U3:U19)</f>
        <v>0</v>
      </c>
      <c r="V2" s="177">
        <f>SUM(V3:V15)</f>
        <v>0</v>
      </c>
    </row>
    <row r="3" spans="1:22" s="71" customFormat="1" ht="18">
      <c r="A3" s="67"/>
      <c r="B3" s="68"/>
      <c r="C3" s="68"/>
      <c r="D3" s="68"/>
      <c r="E3" s="197"/>
      <c r="F3" s="221" t="s">
        <v>154</v>
      </c>
      <c r="G3" s="69">
        <f>$F$5</f>
        <v>0</v>
      </c>
      <c r="H3" s="69">
        <f>$F$7</f>
        <v>0</v>
      </c>
      <c r="I3" s="69">
        <f>$F$9</f>
        <v>0</v>
      </c>
      <c r="J3" s="69">
        <f>$F$11</f>
        <v>0</v>
      </c>
      <c r="K3" s="69">
        <f>$F$13</f>
        <v>0</v>
      </c>
      <c r="L3" s="69">
        <f>$F$15</f>
        <v>0</v>
      </c>
      <c r="M3" s="217">
        <v>0</v>
      </c>
      <c r="N3" s="217">
        <v>0</v>
      </c>
      <c r="O3" s="218">
        <v>0</v>
      </c>
      <c r="P3" s="218">
        <v>0</v>
      </c>
      <c r="Q3" s="218">
        <v>0</v>
      </c>
      <c r="R3" s="167" t="str">
        <f>$F$18</f>
        <v>B</v>
      </c>
      <c r="S3" s="70"/>
      <c r="U3" s="177">
        <f>Database!H2</f>
        <v>0</v>
      </c>
      <c r="V3" s="177">
        <f>Database!I2</f>
        <v>0</v>
      </c>
    </row>
    <row r="4" spans="1:22" ht="18" customHeight="1">
      <c r="A4" s="72" t="str">
        <f>Database!B22</f>
        <v>Interface Module 1</v>
      </c>
      <c r="B4" s="76"/>
      <c r="C4" s="77"/>
      <c r="D4" s="77"/>
      <c r="E4" s="77"/>
      <c r="F4" s="210"/>
      <c r="G4" s="200"/>
      <c r="H4" s="203"/>
      <c r="I4" s="169"/>
      <c r="J4" s="213"/>
      <c r="K4" s="168"/>
      <c r="L4" s="157"/>
      <c r="M4" s="213"/>
      <c r="N4" s="219"/>
      <c r="O4" s="157"/>
      <c r="P4" s="213"/>
      <c r="Q4" s="73"/>
      <c r="R4" s="157"/>
      <c r="S4" s="66"/>
      <c r="U4" s="177"/>
      <c r="V4" s="177"/>
    </row>
    <row r="5" spans="1:22" ht="68.25" customHeight="1">
      <c r="A5" s="75"/>
      <c r="B5" s="79"/>
      <c r="C5" s="78"/>
      <c r="D5" s="78"/>
      <c r="E5" s="78"/>
      <c r="F5" s="69">
        <f>Database!F22</f>
        <v>0</v>
      </c>
      <c r="G5" s="202"/>
      <c r="H5" s="204"/>
      <c r="I5" s="157"/>
      <c r="J5" s="201"/>
      <c r="K5" s="73"/>
      <c r="L5" s="157"/>
      <c r="M5" s="201"/>
      <c r="N5" s="216"/>
      <c r="O5" s="157"/>
      <c r="P5" s="201"/>
      <c r="Q5" s="73"/>
      <c r="R5" s="157"/>
      <c r="S5" s="66"/>
      <c r="U5" s="177">
        <f>Database!H22</f>
        <v>0</v>
      </c>
      <c r="V5" s="177">
        <f>Database!I22</f>
        <v>0</v>
      </c>
    </row>
    <row r="6" spans="1:22" ht="18" customHeight="1">
      <c r="A6" s="72" t="str">
        <f>Database!B33</f>
        <v>Interface Module 2</v>
      </c>
      <c r="B6" s="76"/>
      <c r="C6" s="81"/>
      <c r="D6" s="77"/>
      <c r="E6" s="77"/>
      <c r="F6" s="113"/>
      <c r="G6" s="113"/>
      <c r="H6" s="204"/>
      <c r="I6" s="157"/>
      <c r="J6" s="201"/>
      <c r="K6" s="73"/>
      <c r="L6" s="157"/>
      <c r="M6" s="201"/>
      <c r="N6" s="216"/>
      <c r="O6" s="157"/>
      <c r="P6" s="201"/>
      <c r="Q6" s="73"/>
      <c r="R6" s="157"/>
      <c r="S6" s="66"/>
      <c r="U6" s="177"/>
      <c r="V6" s="177"/>
    </row>
    <row r="7" spans="1:22" ht="70.5" customHeight="1">
      <c r="A7" s="75"/>
      <c r="B7" s="79"/>
      <c r="C7" s="82"/>
      <c r="D7" s="78"/>
      <c r="E7" s="78"/>
      <c r="F7" s="69">
        <f>Database!F33</f>
        <v>0</v>
      </c>
      <c r="G7" s="205"/>
      <c r="H7" s="206"/>
      <c r="I7" s="209"/>
      <c r="J7" s="201"/>
      <c r="K7" s="73"/>
      <c r="L7" s="157"/>
      <c r="M7" s="201"/>
      <c r="N7" s="216"/>
      <c r="O7" s="157"/>
      <c r="P7" s="201"/>
      <c r="Q7" s="73"/>
      <c r="R7" s="157"/>
      <c r="S7" s="66"/>
      <c r="U7" s="177">
        <f>Database!H33</f>
        <v>0</v>
      </c>
      <c r="V7" s="177">
        <f>Database!I33</f>
        <v>0</v>
      </c>
    </row>
    <row r="8" spans="1:22" ht="19.5" customHeight="1">
      <c r="A8" s="72" t="str">
        <f>Database!B44</f>
        <v>Interface Module 3</v>
      </c>
      <c r="B8" s="79"/>
      <c r="C8" s="82"/>
      <c r="D8" s="78"/>
      <c r="E8" s="78"/>
      <c r="F8" s="211"/>
      <c r="G8" s="208"/>
      <c r="H8" s="208"/>
      <c r="I8" s="157"/>
      <c r="J8" s="201"/>
      <c r="K8" s="73"/>
      <c r="L8" s="157"/>
      <c r="M8" s="201"/>
      <c r="N8" s="216"/>
      <c r="O8" s="157"/>
      <c r="P8" s="201"/>
      <c r="Q8" s="73"/>
      <c r="R8" s="157"/>
      <c r="S8" s="66"/>
      <c r="U8" s="177"/>
      <c r="V8" s="177"/>
    </row>
    <row r="9" spans="1:22" ht="69" customHeight="1">
      <c r="A9" s="75"/>
      <c r="B9" s="79"/>
      <c r="C9" s="82"/>
      <c r="D9" s="78"/>
      <c r="E9" s="78"/>
      <c r="F9" s="69">
        <f>Database!F44</f>
        <v>0</v>
      </c>
      <c r="G9" s="165"/>
      <c r="H9" s="166"/>
      <c r="I9" s="163"/>
      <c r="J9" s="201"/>
      <c r="K9" s="216"/>
      <c r="L9" s="157"/>
      <c r="M9" s="201"/>
      <c r="N9" s="216"/>
      <c r="O9" s="157"/>
      <c r="P9" s="201"/>
      <c r="Q9" s="73"/>
      <c r="R9" s="157"/>
      <c r="S9" s="66"/>
      <c r="U9" s="177">
        <f>Database!H44</f>
        <v>0</v>
      </c>
      <c r="V9" s="177">
        <f>Database!I44</f>
        <v>0</v>
      </c>
    </row>
    <row r="10" spans="1:22" ht="19.5" customHeight="1">
      <c r="A10" s="72" t="str">
        <f>Database!B55</f>
        <v>Interface Module 4</v>
      </c>
      <c r="B10" s="79"/>
      <c r="C10" s="82"/>
      <c r="D10" s="78"/>
      <c r="E10" s="80"/>
      <c r="F10" s="214"/>
      <c r="G10" s="215"/>
      <c r="H10" s="215"/>
      <c r="I10" s="215"/>
      <c r="J10" s="212"/>
      <c r="K10" s="73"/>
      <c r="L10" s="157"/>
      <c r="M10" s="201"/>
      <c r="N10" s="216"/>
      <c r="O10" s="157"/>
      <c r="P10" s="201"/>
      <c r="Q10" s="73"/>
      <c r="R10" s="157"/>
      <c r="S10" s="66"/>
      <c r="U10" s="177"/>
      <c r="V10" s="177"/>
    </row>
    <row r="11" spans="1:22" ht="69.75" customHeight="1">
      <c r="A11" s="75"/>
      <c r="B11" s="79"/>
      <c r="C11" s="82"/>
      <c r="D11" s="78"/>
      <c r="E11" s="78"/>
      <c r="F11" s="69">
        <f>Database!F55</f>
        <v>0</v>
      </c>
      <c r="G11" s="222"/>
      <c r="H11" s="223"/>
      <c r="I11" s="223"/>
      <c r="J11" s="224"/>
      <c r="K11" s="73"/>
      <c r="L11" s="157"/>
      <c r="M11" s="201"/>
      <c r="N11" s="216"/>
      <c r="O11" s="157"/>
      <c r="P11" s="201"/>
      <c r="Q11" s="73"/>
      <c r="R11" s="157"/>
      <c r="S11" s="66"/>
      <c r="U11" s="177">
        <f>Database!H55</f>
        <v>0</v>
      </c>
      <c r="V11" s="177">
        <f>Database!I55</f>
        <v>0</v>
      </c>
    </row>
    <row r="12" spans="1:22" ht="19.5" customHeight="1">
      <c r="A12" s="72" t="str">
        <f>Database!B66</f>
        <v>Interface Module 5</v>
      </c>
      <c r="B12" s="79"/>
      <c r="C12" s="82"/>
      <c r="D12" s="78"/>
      <c r="E12" s="80"/>
      <c r="F12" s="74"/>
      <c r="G12" s="74"/>
      <c r="H12" s="74"/>
      <c r="I12" s="74"/>
      <c r="J12" s="74"/>
      <c r="K12" s="73"/>
      <c r="L12" s="164"/>
      <c r="M12" s="201"/>
      <c r="N12" s="216"/>
      <c r="O12" s="157"/>
      <c r="P12" s="201"/>
      <c r="Q12" s="73"/>
      <c r="R12" s="157"/>
      <c r="S12" s="66"/>
      <c r="U12" s="177"/>
      <c r="V12" s="177"/>
    </row>
    <row r="13" spans="1:22" ht="69" customHeight="1">
      <c r="A13" s="75"/>
      <c r="B13" s="79"/>
      <c r="C13" s="82"/>
      <c r="D13" s="78"/>
      <c r="E13" s="78"/>
      <c r="F13" s="69">
        <f>Database!F66</f>
        <v>0</v>
      </c>
      <c r="G13" s="158"/>
      <c r="H13" s="160"/>
      <c r="I13" s="160"/>
      <c r="J13" s="160"/>
      <c r="K13" s="159"/>
      <c r="L13" s="207"/>
      <c r="M13" s="201"/>
      <c r="N13" s="216"/>
      <c r="O13" s="157"/>
      <c r="P13" s="201"/>
      <c r="Q13" s="73"/>
      <c r="R13" s="157"/>
      <c r="S13" s="66"/>
      <c r="U13" s="177">
        <f>Database!H66</f>
        <v>0</v>
      </c>
      <c r="V13" s="177">
        <f>Database!I66</f>
        <v>0</v>
      </c>
    </row>
    <row r="14" spans="1:22" ht="19.5" customHeight="1">
      <c r="A14" s="72" t="str">
        <f>Database!B77</f>
        <v>Interface Module 6</v>
      </c>
      <c r="B14" s="79"/>
      <c r="C14" s="82"/>
      <c r="D14" s="78"/>
      <c r="E14" s="78"/>
      <c r="F14" s="208"/>
      <c r="G14" s="208"/>
      <c r="H14" s="208"/>
      <c r="I14" s="208"/>
      <c r="J14" s="208"/>
      <c r="K14" s="208"/>
      <c r="L14" s="164"/>
      <c r="M14" s="201"/>
      <c r="N14" s="216"/>
      <c r="O14" s="157"/>
      <c r="P14" s="201"/>
      <c r="Q14" s="73"/>
      <c r="R14" s="157"/>
      <c r="S14" s="66"/>
      <c r="U14" s="177"/>
      <c r="V14" s="177"/>
    </row>
    <row r="15" spans="1:22" ht="71.25" customHeight="1">
      <c r="A15" s="75"/>
      <c r="B15" s="194"/>
      <c r="C15" s="195"/>
      <c r="D15" s="196"/>
      <c r="E15" s="196"/>
      <c r="F15" s="69">
        <f>Database!F77</f>
        <v>0</v>
      </c>
      <c r="G15" s="166"/>
      <c r="H15" s="166"/>
      <c r="I15" s="166"/>
      <c r="J15" s="166"/>
      <c r="K15" s="166"/>
      <c r="L15" s="166"/>
      <c r="M15" s="201"/>
      <c r="N15" s="216"/>
      <c r="O15" s="157"/>
      <c r="P15" s="201"/>
      <c r="Q15" s="73"/>
      <c r="R15" s="157"/>
      <c r="S15" s="66"/>
      <c r="U15" s="177">
        <f>Database!H77</f>
        <v>0</v>
      </c>
      <c r="V15" s="177">
        <f>Database!I77</f>
        <v>0</v>
      </c>
    </row>
    <row r="16" spans="1:22" ht="19.5" customHeight="1">
      <c r="A16" s="72" t="s">
        <v>158</v>
      </c>
      <c r="B16" s="198"/>
      <c r="C16" s="199"/>
      <c r="D16" s="196"/>
      <c r="E16" s="196"/>
      <c r="F16" s="160"/>
      <c r="G16" s="160"/>
      <c r="H16" s="160"/>
      <c r="I16" s="160"/>
      <c r="J16" s="160"/>
      <c r="K16" s="160"/>
      <c r="L16" s="160"/>
      <c r="M16" s="160"/>
      <c r="N16" s="160"/>
      <c r="O16" s="160"/>
      <c r="P16" s="160"/>
      <c r="Q16" s="159"/>
      <c r="R16" s="157"/>
      <c r="S16" s="66"/>
      <c r="U16" s="177"/>
      <c r="V16" s="177"/>
    </row>
    <row r="17" spans="1:22" ht="19.5" customHeight="1">
      <c r="A17" s="83" t="s">
        <v>156</v>
      </c>
      <c r="B17" s="79"/>
      <c r="C17" s="82"/>
      <c r="D17" s="78"/>
      <c r="E17" s="220"/>
      <c r="F17" s="170"/>
      <c r="G17" s="170"/>
      <c r="H17" s="164"/>
      <c r="I17" s="164"/>
      <c r="J17" s="164"/>
      <c r="K17" s="164"/>
      <c r="L17" s="164"/>
      <c r="M17" s="164"/>
      <c r="N17" s="164"/>
      <c r="O17" s="164"/>
      <c r="P17" s="164"/>
      <c r="Q17" s="164"/>
      <c r="R17" s="157"/>
      <c r="S17" s="66"/>
      <c r="U17" s="177"/>
      <c r="V17" s="177"/>
    </row>
    <row r="18" spans="1:22" ht="21.75" customHeight="1">
      <c r="A18" s="72"/>
      <c r="B18" s="79"/>
      <c r="C18" s="82"/>
      <c r="D18" s="78"/>
      <c r="E18" s="78"/>
      <c r="F18" s="69" t="str">
        <f>Database!F95</f>
        <v>B</v>
      </c>
      <c r="G18" s="164"/>
      <c r="H18" s="164"/>
      <c r="I18" s="164"/>
      <c r="J18" s="164"/>
      <c r="K18" s="164"/>
      <c r="L18" s="164"/>
      <c r="M18" s="164"/>
      <c r="N18" s="164"/>
      <c r="O18" s="164"/>
      <c r="P18" s="164"/>
      <c r="Q18" s="164"/>
      <c r="R18" s="164"/>
      <c r="S18" s="66"/>
      <c r="U18" s="177"/>
      <c r="V18" s="177"/>
    </row>
    <row r="19" spans="1:22" ht="17.25" customHeight="1" thickBot="1">
      <c r="A19" s="84"/>
      <c r="B19" s="85"/>
      <c r="C19" s="85"/>
      <c r="D19" s="85"/>
      <c r="E19" s="85"/>
      <c r="F19" s="85"/>
      <c r="G19" s="86"/>
      <c r="H19" s="86"/>
      <c r="I19" s="86"/>
      <c r="J19" s="86"/>
      <c r="K19" s="86"/>
      <c r="L19" s="86"/>
      <c r="M19" s="86"/>
      <c r="N19" s="86"/>
      <c r="O19" s="86"/>
      <c r="P19" s="86"/>
      <c r="Q19" s="86"/>
      <c r="R19" s="86"/>
      <c r="S19" s="87"/>
      <c r="U19" s="178"/>
      <c r="V19" s="178"/>
    </row>
  </sheetData>
  <sheetProtection password="C927" sheet="1"/>
  <printOptions gridLines="1"/>
  <pageMargins left="0.5118110236220472" right="0.5118110236220472" top="0.7874015748031497" bottom="0.7874015748031497" header="0.31496062992125984" footer="0.31496062992125984"/>
  <pageSetup horizontalDpi="600" verticalDpi="600" orientation="portrait" paperSize="9" scale="80" r:id="rId2"/>
  <legacyDrawing r:id="rId1"/>
</worksheet>
</file>

<file path=xl/worksheets/sheet4.xml><?xml version="1.0" encoding="utf-8"?>
<worksheet xmlns="http://schemas.openxmlformats.org/spreadsheetml/2006/main" xmlns:r="http://schemas.openxmlformats.org/officeDocument/2006/relationships">
  <dimension ref="A1:I21"/>
  <sheetViews>
    <sheetView showGridLines="0" showRowColHeaders="0" zoomScalePageLayoutView="0" workbookViewId="0" topLeftCell="A1">
      <pane ySplit="1" topLeftCell="A2" activePane="bottomLeft" state="frozen"/>
      <selection pane="topLeft" activeCell="A1" sqref="A1"/>
      <selection pane="bottomLeft" activeCell="J10" sqref="J10"/>
    </sheetView>
  </sheetViews>
  <sheetFormatPr defaultColWidth="11.421875" defaultRowHeight="15"/>
  <cols>
    <col min="1" max="4" width="11.421875" style="44" customWidth="1"/>
    <col min="5" max="5" width="11.28125" style="44" bestFit="1" customWidth="1"/>
    <col min="6" max="8" width="11.421875" style="44" customWidth="1"/>
    <col min="9" max="9" width="15.140625" style="44" customWidth="1"/>
    <col min="10" max="16384" width="11.421875" style="44" customWidth="1"/>
  </cols>
  <sheetData>
    <row r="1" spans="1:9" ht="15">
      <c r="A1" s="45" t="str">
        <f>Database!E4</f>
        <v>H4900000000000B</v>
      </c>
      <c r="B1" s="46"/>
      <c r="C1" s="46"/>
      <c r="D1" s="46"/>
      <c r="E1" s="46"/>
      <c r="F1" s="46"/>
      <c r="G1" s="46"/>
      <c r="H1" s="46"/>
      <c r="I1" s="47"/>
    </row>
    <row r="2" spans="1:9" ht="13.5">
      <c r="A2" s="48" t="s">
        <v>185</v>
      </c>
      <c r="B2" s="49"/>
      <c r="C2" s="49"/>
      <c r="D2" s="49"/>
      <c r="E2" s="49"/>
      <c r="F2" s="49"/>
      <c r="G2" s="49"/>
      <c r="H2" s="49"/>
      <c r="I2" s="50"/>
    </row>
    <row r="3" spans="1:9" ht="13.5">
      <c r="A3" s="48" t="s">
        <v>148</v>
      </c>
      <c r="B3" s="49"/>
      <c r="C3" s="49"/>
      <c r="D3" s="49"/>
      <c r="E3" s="49"/>
      <c r="F3" s="49"/>
      <c r="G3" s="49"/>
      <c r="H3" s="49"/>
      <c r="I3" s="50"/>
    </row>
    <row r="4" spans="1:9" ht="13.5">
      <c r="A4" s="51" t="str">
        <f>Database!E22</f>
        <v>None</v>
      </c>
      <c r="B4" s="49"/>
      <c r="C4" s="49"/>
      <c r="D4" s="49"/>
      <c r="E4" s="49"/>
      <c r="F4" s="49"/>
      <c r="G4" s="49"/>
      <c r="H4" s="49"/>
      <c r="I4" s="50"/>
    </row>
    <row r="5" spans="1:9" ht="13.5">
      <c r="A5" s="48" t="s">
        <v>149</v>
      </c>
      <c r="B5" s="49"/>
      <c r="C5" s="49"/>
      <c r="D5" s="49"/>
      <c r="E5" s="49"/>
      <c r="F5" s="49"/>
      <c r="G5" s="49"/>
      <c r="H5" s="49"/>
      <c r="I5" s="50"/>
    </row>
    <row r="6" spans="1:9" ht="13.5">
      <c r="A6" s="51" t="str">
        <f>Database!E33</f>
        <v>None</v>
      </c>
      <c r="B6" s="49"/>
      <c r="C6" s="49"/>
      <c r="D6" s="49"/>
      <c r="E6" s="49"/>
      <c r="F6" s="49"/>
      <c r="G6" s="49"/>
      <c r="H6" s="49"/>
      <c r="I6" s="50"/>
    </row>
    <row r="7" spans="1:9" ht="13.5">
      <c r="A7" s="48" t="s">
        <v>150</v>
      </c>
      <c r="B7" s="49"/>
      <c r="C7" s="49"/>
      <c r="D7" s="49"/>
      <c r="E7" s="49"/>
      <c r="F7" s="49"/>
      <c r="G7" s="49"/>
      <c r="H7" s="49"/>
      <c r="I7" s="50"/>
    </row>
    <row r="8" spans="1:9" ht="13.5">
      <c r="A8" s="51" t="str">
        <f>Database!E44</f>
        <v>None</v>
      </c>
      <c r="B8" s="49"/>
      <c r="C8" s="49"/>
      <c r="D8" s="49"/>
      <c r="E8" s="49"/>
      <c r="F8" s="49"/>
      <c r="G8" s="49"/>
      <c r="H8" s="49"/>
      <c r="I8" s="50"/>
    </row>
    <row r="9" spans="1:9" ht="13.5">
      <c r="A9" s="48" t="s">
        <v>151</v>
      </c>
      <c r="B9" s="49"/>
      <c r="C9" s="49"/>
      <c r="D9" s="49"/>
      <c r="E9" s="49"/>
      <c r="F9" s="49"/>
      <c r="G9" s="49"/>
      <c r="H9" s="49"/>
      <c r="I9" s="50"/>
    </row>
    <row r="10" spans="1:9" ht="13.5">
      <c r="A10" s="51" t="str">
        <f>Database!E55</f>
        <v>None</v>
      </c>
      <c r="B10" s="49"/>
      <c r="C10" s="49"/>
      <c r="D10" s="49"/>
      <c r="E10" s="49"/>
      <c r="F10" s="49"/>
      <c r="G10" s="49"/>
      <c r="H10" s="49"/>
      <c r="I10" s="50"/>
    </row>
    <row r="11" spans="1:9" ht="13.5">
      <c r="A11" s="48" t="s">
        <v>152</v>
      </c>
      <c r="B11" s="49"/>
      <c r="C11" s="49"/>
      <c r="D11" s="49"/>
      <c r="E11" s="49"/>
      <c r="F11" s="49"/>
      <c r="G11" s="49"/>
      <c r="H11" s="49"/>
      <c r="I11" s="50"/>
    </row>
    <row r="12" spans="1:9" ht="13.5">
      <c r="A12" s="51" t="str">
        <f>Database!E66</f>
        <v>None</v>
      </c>
      <c r="B12" s="49"/>
      <c r="C12" s="49"/>
      <c r="D12" s="49"/>
      <c r="E12" s="49"/>
      <c r="F12" s="49"/>
      <c r="G12" s="49"/>
      <c r="H12" s="49"/>
      <c r="I12" s="50"/>
    </row>
    <row r="13" spans="1:9" ht="13.5">
      <c r="A13" s="48" t="s">
        <v>153</v>
      </c>
      <c r="B13" s="49"/>
      <c r="C13" s="49"/>
      <c r="D13" s="49"/>
      <c r="E13" s="49"/>
      <c r="F13" s="49"/>
      <c r="G13" s="49"/>
      <c r="H13" s="49"/>
      <c r="I13" s="50"/>
    </row>
    <row r="14" spans="1:9" ht="13.5">
      <c r="A14" s="51" t="str">
        <f>Database!E77</f>
        <v>None</v>
      </c>
      <c r="B14" s="49"/>
      <c r="C14" s="49"/>
      <c r="D14" s="49"/>
      <c r="E14" s="49"/>
      <c r="F14" s="49"/>
      <c r="G14" s="49"/>
      <c r="H14" s="49"/>
      <c r="I14" s="50"/>
    </row>
    <row r="15" spans="1:9" ht="13.5">
      <c r="A15" s="48" t="str">
        <f>Database!B95</f>
        <v>Hardware Design Suffix</v>
      </c>
      <c r="B15" s="49"/>
      <c r="C15" s="49"/>
      <c r="D15" s="49"/>
      <c r="E15" s="49"/>
      <c r="F15" s="49"/>
      <c r="G15" s="49"/>
      <c r="H15" s="49"/>
      <c r="I15" s="50"/>
    </row>
    <row r="16" spans="1:9" ht="13.5">
      <c r="A16" s="51" t="str">
        <f>Database!F95</f>
        <v>B</v>
      </c>
      <c r="B16" s="49"/>
      <c r="C16" s="49"/>
      <c r="D16" s="49"/>
      <c r="E16" s="49"/>
      <c r="F16" s="49"/>
      <c r="G16" s="49"/>
      <c r="H16" s="49"/>
      <c r="I16" s="50"/>
    </row>
    <row r="17" spans="1:9" ht="14.25" thickBot="1">
      <c r="A17" s="52"/>
      <c r="B17" s="53"/>
      <c r="C17" s="53"/>
      <c r="D17" s="53"/>
      <c r="E17" s="53"/>
      <c r="F17" s="53"/>
      <c r="G17" s="53"/>
      <c r="H17" s="53"/>
      <c r="I17" s="54"/>
    </row>
    <row r="18" spans="1:9" ht="13.5">
      <c r="A18" s="55"/>
      <c r="B18" s="46"/>
      <c r="C18" s="46"/>
      <c r="D18" s="46"/>
      <c r="E18" s="46"/>
      <c r="F18" s="46"/>
      <c r="G18" s="46"/>
      <c r="H18" s="46"/>
      <c r="I18" s="47"/>
    </row>
    <row r="19" spans="1:9" ht="13.5">
      <c r="A19" s="56" t="str">
        <f>HLOOKUP(language!$C$3,language!$E$1:$Z533,36,FALSE)</f>
        <v>Issue</v>
      </c>
      <c r="B19" s="49"/>
      <c r="C19" s="49"/>
      <c r="D19" s="49"/>
      <c r="E19" s="49"/>
      <c r="F19" s="49"/>
      <c r="G19" s="49"/>
      <c r="H19" s="49"/>
      <c r="I19" s="50"/>
    </row>
    <row r="20" spans="1:9" ht="13.5">
      <c r="A20" s="56"/>
      <c r="B20" s="181" t="s">
        <v>32</v>
      </c>
      <c r="C20" s="254" t="s">
        <v>188</v>
      </c>
      <c r="D20" s="183"/>
      <c r="E20" s="184"/>
      <c r="F20" s="183"/>
      <c r="G20" s="183"/>
      <c r="H20" s="183"/>
      <c r="I20" s="185"/>
    </row>
    <row r="21" spans="1:9" ht="14.25" thickBot="1">
      <c r="A21" s="52"/>
      <c r="B21" s="53"/>
      <c r="C21" s="53"/>
      <c r="D21" s="53"/>
      <c r="E21" s="53"/>
      <c r="F21" s="53"/>
      <c r="G21" s="53"/>
      <c r="H21" s="53"/>
      <c r="I21" s="54"/>
    </row>
  </sheetData>
  <sheetProtection password="C927" sheet="1"/>
  <printOptions/>
  <pageMargins left="0.511811024" right="0.511811024" top="0.787401575" bottom="0.787401575" header="0.31496062" footer="0.3149606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M98"/>
  <sheetViews>
    <sheetView zoomScalePageLayoutView="0" workbookViewId="0" topLeftCell="A67">
      <selection activeCell="F96" sqref="F96"/>
    </sheetView>
  </sheetViews>
  <sheetFormatPr defaultColWidth="11.421875" defaultRowHeight="15"/>
  <cols>
    <col min="1" max="1" width="5.28125" style="3" customWidth="1"/>
    <col min="2" max="2" width="30.7109375" style="2" customWidth="1"/>
    <col min="3" max="4" width="3.8515625" style="3" customWidth="1"/>
    <col min="5" max="5" width="70.7109375" style="2" customWidth="1"/>
    <col min="6" max="6" width="5.8515625" style="3" customWidth="1"/>
    <col min="7" max="7" width="2.57421875" style="3" customWidth="1"/>
    <col min="8" max="9" width="10.7109375" style="142" customWidth="1"/>
    <col min="10" max="10" width="5.7109375" style="3" customWidth="1"/>
    <col min="11" max="11" width="11.421875" style="2" customWidth="1"/>
    <col min="12" max="12" width="29.28125" style="2" customWidth="1"/>
    <col min="13" max="13" width="19.28125" style="2" customWidth="1"/>
    <col min="14" max="16384" width="11.421875" style="2" customWidth="1"/>
  </cols>
  <sheetData>
    <row r="1" spans="1:13" ht="11.25">
      <c r="A1" s="261" t="s">
        <v>38</v>
      </c>
      <c r="B1" s="261"/>
      <c r="C1" s="261"/>
      <c r="D1" s="261"/>
      <c r="E1" s="24">
        <v>42304</v>
      </c>
      <c r="H1" s="149" t="s">
        <v>58</v>
      </c>
      <c r="I1" s="150" t="s">
        <v>45</v>
      </c>
      <c r="J1" s="151" t="s">
        <v>46</v>
      </c>
      <c r="L1" s="100" t="s">
        <v>39</v>
      </c>
      <c r="M1" s="92" t="str">
        <f>ADDRESS(1,MATCH(E1,'Date Drivers'!1:1,0),1,1,"Date Drivers")</f>
        <v>'Date Drivers'!$O$1</v>
      </c>
    </row>
    <row r="2" spans="1:13" ht="11.25">
      <c r="A2" s="261" t="str">
        <f>INDEX('Date Drivers'!$A$1:$B$371,5,2)</f>
        <v>Model Type</v>
      </c>
      <c r="B2" s="261"/>
      <c r="C2" s="261"/>
      <c r="D2" s="261"/>
      <c r="E2" s="2" t="str">
        <f ca="1">INDEX(INDIRECT($M$1&amp;":"&amp;$M$2),5,1)</f>
        <v>T1000</v>
      </c>
      <c r="H2" s="143"/>
      <c r="I2" s="144"/>
      <c r="J2" s="145" t="str">
        <f ca="1">INDEX(INDIRECT($M$1&amp;":"&amp;$M$2),5,5)</f>
        <v>Y</v>
      </c>
      <c r="L2" s="100" t="s">
        <v>40</v>
      </c>
      <c r="M2" s="92" t="str">
        <f>ADDRESS(500,MATCH(E1,'Date Drivers'!1:1,0)+4,1,1)</f>
        <v>$S$500</v>
      </c>
    </row>
    <row r="3" spans="1:12" ht="11.25">
      <c r="A3" s="261"/>
      <c r="B3" s="261"/>
      <c r="C3" s="261"/>
      <c r="D3" s="261"/>
      <c r="E3" s="2" t="str">
        <f ca="1">INDEX(INDIRECT($M$1&amp;":"&amp;$M$2),6,1)</f>
        <v>Modular Managed Ethernet Switch Gigabit</v>
      </c>
      <c r="H3" s="143"/>
      <c r="I3" s="144"/>
      <c r="J3" s="145"/>
      <c r="L3" s="26"/>
    </row>
    <row r="4" spans="1:12" ht="11.25">
      <c r="A4" s="261"/>
      <c r="B4" s="261"/>
      <c r="C4" s="261"/>
      <c r="D4" s="261"/>
      <c r="E4" s="2" t="str">
        <f>CONCATENATE(Configurator!$F$3,Configurator!G3,Configurator!H3,Configurator!I3,Configurator!J3,Configurator!K3,Configurator!L3,Configurator!M3,Configurator!N3,Configurator!O3,Configurator!P3,Configurator!Q3,Configurator!R3)</f>
        <v>H4900000000000B</v>
      </c>
      <c r="H4" s="143"/>
      <c r="I4" s="144"/>
      <c r="J4" s="145"/>
      <c r="L4" s="26"/>
    </row>
    <row r="5" spans="1:12" ht="11.25">
      <c r="A5" s="33">
        <v>1</v>
      </c>
      <c r="B5" s="91" t="str">
        <f>INDEX('Date Drivers'!$A$1:$B$371,Database!C6,2)</f>
        <v>Power Supply 1</v>
      </c>
      <c r="C5" s="90"/>
      <c r="D5" s="93">
        <v>2</v>
      </c>
      <c r="E5" s="94" t="str">
        <f>VLOOKUP(D5,D6:F7,2,FALSE)</f>
        <v>100-250 Vdc / 110-240 Vac</v>
      </c>
      <c r="F5" s="93">
        <f>VLOOKUP(D5,D6:F7,3,FALSE)</f>
        <v>3</v>
      </c>
      <c r="H5" s="143"/>
      <c r="I5" s="144"/>
      <c r="J5" s="145">
        <f>VLOOKUP(D5,D6:J7,7,FALSE)</f>
        <v>0</v>
      </c>
      <c r="L5" s="26"/>
    </row>
    <row r="6" spans="1:12" ht="11.25">
      <c r="A6" s="26"/>
      <c r="B6" s="26"/>
      <c r="C6" s="10">
        <f>MATCH(A5,'Date Drivers'!$A$1:$A$371,0)</f>
        <v>8</v>
      </c>
      <c r="D6" s="10">
        <v>1</v>
      </c>
      <c r="E6" s="95" t="str">
        <f ca="1">INDEX(INDIRECT($M$1&amp;":"&amp;$M$2),C6,1)</f>
        <v>24-48 Vdc</v>
      </c>
      <c r="F6" s="10">
        <f ca="1">INDEX(INDIRECT($M$1&amp;":"&amp;$M$2),C6,2)</f>
        <v>1</v>
      </c>
      <c r="H6" s="143"/>
      <c r="I6" s="144"/>
      <c r="J6" s="145" t="str">
        <f ca="1">INDEX(INDIRECT($M$1&amp;":"&amp;$M$2),C6,5)</f>
        <v>Y</v>
      </c>
      <c r="L6" s="26"/>
    </row>
    <row r="7" spans="1:12" ht="11.25">
      <c r="A7" s="26"/>
      <c r="B7" s="26"/>
      <c r="C7" s="10">
        <f>C6+1</f>
        <v>9</v>
      </c>
      <c r="D7" s="10">
        <v>2</v>
      </c>
      <c r="E7" s="95" t="str">
        <f ca="1">INDEX(INDIRECT($M$1&amp;":"&amp;$M$2),C7,1)</f>
        <v>100-250 Vdc / 110-240 Vac</v>
      </c>
      <c r="F7" s="10">
        <f ca="1">INDEX(INDIRECT($M$1&amp;":"&amp;$M$2),C7,2)</f>
        <v>3</v>
      </c>
      <c r="H7" s="143"/>
      <c r="I7" s="144"/>
      <c r="J7" s="145">
        <f ca="1">INDEX(INDIRECT($M$1&amp;":"&amp;$M$2),C7,5)</f>
        <v>0</v>
      </c>
      <c r="L7" s="26"/>
    </row>
    <row r="8" spans="1:12" ht="11.25">
      <c r="A8" s="42"/>
      <c r="B8" s="42"/>
      <c r="C8" s="97"/>
      <c r="D8" s="97"/>
      <c r="E8" s="95"/>
      <c r="F8" s="10"/>
      <c r="H8" s="143"/>
      <c r="I8" s="144"/>
      <c r="J8" s="145"/>
      <c r="L8" s="26"/>
    </row>
    <row r="9" spans="1:10" ht="11.25">
      <c r="A9" s="33">
        <v>2</v>
      </c>
      <c r="B9" s="91" t="str">
        <f>INDEX('Date Drivers'!$A$1:$B$371,Database!C10,2)</f>
        <v>Power Supply 2</v>
      </c>
      <c r="C9" s="90"/>
      <c r="D9" s="93">
        <v>3</v>
      </c>
      <c r="E9" s="94" t="str">
        <f>VLOOKUP(D9,D10:F12,2,FALSE)</f>
        <v>Not installed</v>
      </c>
      <c r="F9" s="93" t="str">
        <f>VLOOKUP(D9,D10:F12,3,FALSE)</f>
        <v>X</v>
      </c>
      <c r="H9" s="143"/>
      <c r="I9" s="144"/>
      <c r="J9" s="145" t="str">
        <f>VLOOKUP(D9,D10:J12,7,FALSE)</f>
        <v>Y</v>
      </c>
    </row>
    <row r="10" spans="1:10" ht="11.25">
      <c r="A10" s="26"/>
      <c r="B10" s="26"/>
      <c r="C10" s="10">
        <f>MATCH(A9,'Date Drivers'!$A$1:$A$371,0)</f>
        <v>11</v>
      </c>
      <c r="D10" s="10">
        <v>1</v>
      </c>
      <c r="E10" s="95" t="str">
        <f ca="1">INDEX(INDIRECT($M$1&amp;":"&amp;$M$2),C10,1)</f>
        <v>24-48 Vdc</v>
      </c>
      <c r="F10" s="10">
        <f ca="1">INDEX(INDIRECT($M$1&amp;":"&amp;$M$2),C10,2)</f>
        <v>1</v>
      </c>
      <c r="H10" s="143"/>
      <c r="I10" s="144"/>
      <c r="J10" s="145" t="str">
        <f ca="1">INDEX(INDIRECT($M$1&amp;":"&amp;$M$2),C10,5)</f>
        <v>Y</v>
      </c>
    </row>
    <row r="11" spans="1:10" ht="11.25">
      <c r="A11" s="26"/>
      <c r="B11" s="26"/>
      <c r="C11" s="10">
        <f>C10+1</f>
        <v>12</v>
      </c>
      <c r="D11" s="10">
        <f>D10+1</f>
        <v>2</v>
      </c>
      <c r="E11" s="95" t="str">
        <f ca="1">INDEX(INDIRECT($M$1&amp;":"&amp;$M$2),C11,1)</f>
        <v>100-250 Vdc / 110-240 Vac</v>
      </c>
      <c r="F11" s="10">
        <f ca="1">INDEX(INDIRECT($M$1&amp;":"&amp;$M$2),C11,2)</f>
        <v>3</v>
      </c>
      <c r="H11" s="143"/>
      <c r="I11" s="144"/>
      <c r="J11" s="145">
        <f ca="1">INDEX(INDIRECT($M$1&amp;":"&amp;$M$2),C11,5)</f>
        <v>0</v>
      </c>
    </row>
    <row r="12" spans="1:10" ht="11.25">
      <c r="A12" s="26"/>
      <c r="B12" s="26"/>
      <c r="C12" s="10">
        <f>C11+1</f>
        <v>13</v>
      </c>
      <c r="D12" s="10">
        <f>D11+1</f>
        <v>3</v>
      </c>
      <c r="E12" s="95" t="str">
        <f ca="1">INDEX(INDIRECT($M$1&amp;":"&amp;$M$2),C12,1)</f>
        <v>Not installed</v>
      </c>
      <c r="F12" s="10" t="str">
        <f ca="1">INDEX(INDIRECT($M$1&amp;":"&amp;$M$2),C12,2)</f>
        <v>X</v>
      </c>
      <c r="H12" s="143"/>
      <c r="I12" s="144"/>
      <c r="J12" s="145" t="str">
        <f ca="1">INDEX(INDIRECT($M$1&amp;":"&amp;$M$2),C12,5)</f>
        <v>Y</v>
      </c>
    </row>
    <row r="13" spans="2:10" ht="11.25">
      <c r="B13" s="26"/>
      <c r="C13" s="10"/>
      <c r="D13" s="10"/>
      <c r="E13" s="95"/>
      <c r="F13" s="10"/>
      <c r="H13" s="143"/>
      <c r="I13" s="144"/>
      <c r="J13" s="145"/>
    </row>
    <row r="14" spans="1:10" ht="11.25">
      <c r="A14" s="33">
        <v>3</v>
      </c>
      <c r="B14" s="89" t="str">
        <f>INDEX('Date Drivers'!$A$1:$B$371,Database!C15,2)</f>
        <v>Mounting Options 1</v>
      </c>
      <c r="C14" s="90"/>
      <c r="D14" s="93">
        <v>2</v>
      </c>
      <c r="E14" s="94" t="str">
        <f>VLOOKUP(D14,D15:F16,2,FALSE)</f>
        <v>Ethernet ports on the rear</v>
      </c>
      <c r="F14" s="93" t="str">
        <f>VLOOKUP(D14,D15:F16,3,FALSE)</f>
        <v>R</v>
      </c>
      <c r="H14" s="143"/>
      <c r="I14" s="144"/>
      <c r="J14" s="145" t="str">
        <f>VLOOKUP(D14,D15:J16,7,FALSE)</f>
        <v>Y</v>
      </c>
    </row>
    <row r="15" spans="1:10" ht="11.25">
      <c r="A15" s="26"/>
      <c r="B15" s="26"/>
      <c r="C15" s="98">
        <f>MATCH(A14,'Date Drivers'!$A$1:$A$371,0)</f>
        <v>15</v>
      </c>
      <c r="D15" s="98">
        <v>1</v>
      </c>
      <c r="E15" s="99" t="str">
        <f ca="1">INDEX(INDIRECT($M$1&amp;":"&amp;$M$2),C15,1)</f>
        <v>Ethernet ports on the front</v>
      </c>
      <c r="F15" s="98" t="str">
        <f ca="1">INDEX(INDIRECT($M$1&amp;":"&amp;$M$2),C15,2)</f>
        <v>F</v>
      </c>
      <c r="H15" s="143"/>
      <c r="I15" s="144"/>
      <c r="J15" s="145" t="str">
        <f ca="1">INDEX(INDIRECT($M$1&amp;":"&amp;$M$2),C15,5)</f>
        <v>Y</v>
      </c>
    </row>
    <row r="16" spans="2:10" ht="11.25">
      <c r="B16" s="26"/>
      <c r="C16" s="10">
        <f>C15+1</f>
        <v>16</v>
      </c>
      <c r="D16" s="10">
        <f>D15+1</f>
        <v>2</v>
      </c>
      <c r="E16" s="95" t="str">
        <f ca="1">INDEX(INDIRECT($M$1&amp;":"&amp;$M$2),C16,1)</f>
        <v>Ethernet ports on the rear</v>
      </c>
      <c r="F16" s="10" t="str">
        <f ca="1">INDEX(INDIRECT($M$1&amp;":"&amp;$M$2),C16,2)</f>
        <v>R</v>
      </c>
      <c r="H16" s="143"/>
      <c r="I16" s="144"/>
      <c r="J16" s="145" t="str">
        <f ca="1">INDEX(INDIRECT($M$1&amp;":"&amp;$M$2),C16,5)</f>
        <v>Y</v>
      </c>
    </row>
    <row r="17" spans="3:10" ht="11.25">
      <c r="C17" s="10"/>
      <c r="D17" s="10"/>
      <c r="E17" s="95"/>
      <c r="F17" s="10"/>
      <c r="H17" s="143"/>
      <c r="I17" s="144"/>
      <c r="J17" s="145"/>
    </row>
    <row r="18" spans="1:10" ht="11.25">
      <c r="A18" s="33">
        <v>4</v>
      </c>
      <c r="B18" s="89" t="str">
        <f>INDEX('Date Drivers'!$A$1:$B$371,Database!C19,2)</f>
        <v>Mounting Options 2</v>
      </c>
      <c r="C18" s="90"/>
      <c r="D18" s="93">
        <v>1</v>
      </c>
      <c r="E18" s="94" t="str">
        <f>VLOOKUP(D18,D19:F20,2,FALSE)</f>
        <v>Rack/Panel mounting</v>
      </c>
      <c r="F18" s="93" t="str">
        <f>VLOOKUP(D18,D19:F20,3,FALSE)</f>
        <v>P</v>
      </c>
      <c r="H18" s="143"/>
      <c r="I18" s="144"/>
      <c r="J18" s="145" t="str">
        <f>VLOOKUP(D18,D19:J20,7,FALSE)</f>
        <v>Y</v>
      </c>
    </row>
    <row r="19" spans="1:10" ht="11.25">
      <c r="A19" s="26"/>
      <c r="B19" s="26"/>
      <c r="C19" s="98">
        <f>MATCH(A18,'Date Drivers'!$A$1:$A$371,0)</f>
        <v>18</v>
      </c>
      <c r="D19" s="98">
        <v>1</v>
      </c>
      <c r="E19" s="99" t="str">
        <f ca="1">INDEX(INDIRECT($M$1&amp;":"&amp;$M$2),C19,1)</f>
        <v>Rack/Panel mounting</v>
      </c>
      <c r="F19" s="98" t="str">
        <f ca="1">INDEX(INDIRECT($M$1&amp;":"&amp;$M$2),C19,2)</f>
        <v>P</v>
      </c>
      <c r="H19" s="143"/>
      <c r="I19" s="144"/>
      <c r="J19" s="145" t="str">
        <f ca="1">INDEX(INDIRECT($M$1&amp;":"&amp;$M$2),C19,5)</f>
        <v>Y</v>
      </c>
    </row>
    <row r="20" spans="2:10" ht="11.25">
      <c r="B20" s="26"/>
      <c r="C20" s="10">
        <f>C19+1</f>
        <v>19</v>
      </c>
      <c r="D20" s="10">
        <f>D19+1</f>
        <v>2</v>
      </c>
      <c r="E20" s="95" t="str">
        <f ca="1">INDEX(INDIRECT($M$1&amp;":"&amp;$M$2),C20,1)</f>
        <v>DIN rail mounting</v>
      </c>
      <c r="F20" s="10" t="str">
        <f ca="1">INDEX(INDIRECT($M$1&amp;":"&amp;$M$2),C20,2)</f>
        <v>D</v>
      </c>
      <c r="H20" s="143"/>
      <c r="I20" s="144"/>
      <c r="J20" s="145" t="str">
        <f ca="1">INDEX(INDIRECT($M$1&amp;":"&amp;$M$2),C20,5)</f>
        <v>Y</v>
      </c>
    </row>
    <row r="21" spans="3:10" ht="11.25">
      <c r="C21" s="13"/>
      <c r="D21" s="13"/>
      <c r="E21" s="96"/>
      <c r="F21" s="13"/>
      <c r="H21" s="143"/>
      <c r="I21" s="144"/>
      <c r="J21" s="145"/>
    </row>
    <row r="22" spans="1:10" ht="11.25">
      <c r="A22" s="33">
        <v>5</v>
      </c>
      <c r="B22" s="89" t="str">
        <f>INDEX('Date Drivers'!$A$1:$B$371,Database!C23,2)</f>
        <v>Interface Module 1</v>
      </c>
      <c r="C22" s="90"/>
      <c r="D22" s="93">
        <v>1</v>
      </c>
      <c r="E22" s="94" t="str">
        <f>VLOOKUP(D22,D23:F31,2,FALSE)</f>
        <v>None</v>
      </c>
      <c r="F22" s="93">
        <f>VLOOKUP(D22,D23:F31,3,FALSE)</f>
        <v>0</v>
      </c>
      <c r="H22" s="143"/>
      <c r="I22" s="144"/>
      <c r="J22" s="145" t="str">
        <f>VLOOKUP(D22,D23:J31,7,FALSE)</f>
        <v>Y</v>
      </c>
    </row>
    <row r="23" spans="1:10" ht="11.25">
      <c r="A23" s="26"/>
      <c r="B23" s="26"/>
      <c r="C23" s="98">
        <f>MATCH(A22,'Date Drivers'!$A$1:$A$371,0)</f>
        <v>21</v>
      </c>
      <c r="D23" s="98">
        <v>1</v>
      </c>
      <c r="E23" s="99" t="str">
        <f aca="true" ca="1" t="shared" si="0" ref="E23:E31">INDEX(INDIRECT($M$1&amp;":"&amp;$M$2),C23,1)</f>
        <v>None</v>
      </c>
      <c r="F23" s="98">
        <f aca="true" ca="1" t="shared" si="1" ref="F23:F31">INDEX(INDIRECT($M$1&amp;":"&amp;$M$2),C23,2)</f>
        <v>0</v>
      </c>
      <c r="H23" s="143"/>
      <c r="I23" s="144"/>
      <c r="J23" s="145" t="str">
        <f aca="true" ca="1" t="shared" si="2" ref="J23:J31">INDEX(INDIRECT($M$1&amp;":"&amp;$M$2),C23,5)</f>
        <v>Y</v>
      </c>
    </row>
    <row r="24" spans="2:10" ht="11.25">
      <c r="B24" s="26"/>
      <c r="C24" s="10">
        <f aca="true" t="shared" si="3" ref="C24:C31">C23+1</f>
        <v>22</v>
      </c>
      <c r="D24" s="10">
        <f aca="true" t="shared" si="4" ref="D24:D31">D23+1</f>
        <v>2</v>
      </c>
      <c r="E24" s="95" t="str">
        <f ca="1" t="shared" si="0"/>
        <v>One 1 Gbps LC-type connector multi mode fiber 1000BASE-SX Ethernet for up to 0.5 km</v>
      </c>
      <c r="F24" s="10" t="str">
        <f ca="1" t="shared" si="1"/>
        <v>A</v>
      </c>
      <c r="H24" s="143"/>
      <c r="I24" s="144"/>
      <c r="J24" s="145" t="str">
        <f ca="1" t="shared" si="2"/>
        <v>Y</v>
      </c>
    </row>
    <row r="25" spans="2:10" ht="11.25">
      <c r="B25" s="26"/>
      <c r="C25" s="10">
        <f t="shared" si="3"/>
        <v>23</v>
      </c>
      <c r="D25" s="10">
        <f t="shared" si="4"/>
        <v>3</v>
      </c>
      <c r="E25" s="95" t="str">
        <f ca="1" t="shared" si="0"/>
        <v>One 100 Mbps LC-type connector multi mode fiber 100BASE-FX Ethernet for up to 2 km</v>
      </c>
      <c r="F25" s="10" t="str">
        <f ca="1" t="shared" si="1"/>
        <v>B</v>
      </c>
      <c r="H25" s="143"/>
      <c r="I25" s="144"/>
      <c r="J25" s="145" t="str">
        <f ca="1" t="shared" si="2"/>
        <v>Y</v>
      </c>
    </row>
    <row r="26" spans="2:10" ht="11.25">
      <c r="B26" s="26"/>
      <c r="C26" s="10">
        <f t="shared" si="3"/>
        <v>24</v>
      </c>
      <c r="D26" s="10">
        <f t="shared" si="4"/>
        <v>4</v>
      </c>
      <c r="E26" s="95" t="str">
        <f ca="1" t="shared" si="0"/>
        <v>One 1 Gbps RJ45 copper 100BASE-TX/1000BASE-T Ethernet ports</v>
      </c>
      <c r="F26" s="10" t="str">
        <f ca="1" t="shared" si="1"/>
        <v>C</v>
      </c>
      <c r="H26" s="143"/>
      <c r="I26" s="144"/>
      <c r="J26" s="145" t="str">
        <f ca="1" t="shared" si="2"/>
        <v>Y</v>
      </c>
    </row>
    <row r="27" spans="2:10" ht="11.25">
      <c r="B27" s="26"/>
      <c r="C27" s="10">
        <f t="shared" si="3"/>
        <v>25</v>
      </c>
      <c r="D27" s="10">
        <f t="shared" si="4"/>
        <v>5</v>
      </c>
      <c r="E27" s="95" t="str">
        <f ca="1" t="shared" si="0"/>
        <v>One 1 Gbps LC-type connector single mode fiber 1000BASE-LX Ethernet for up to 10 km</v>
      </c>
      <c r="F27" s="10" t="str">
        <f ca="1" t="shared" si="1"/>
        <v>D</v>
      </c>
      <c r="H27" s="143"/>
      <c r="I27" s="144"/>
      <c r="J27" s="145" t="str">
        <f ca="1" t="shared" si="2"/>
        <v>Y</v>
      </c>
    </row>
    <row r="28" spans="2:10" ht="11.25">
      <c r="B28" s="26"/>
      <c r="C28" s="10">
        <f t="shared" si="3"/>
        <v>26</v>
      </c>
      <c r="D28" s="10">
        <f t="shared" si="4"/>
        <v>6</v>
      </c>
      <c r="E28" s="95" t="str">
        <f ca="1" t="shared" si="0"/>
        <v>One 100 Mbps LC-type connector single mode fiber 100BASE-FX Ethernet for up to 2 km</v>
      </c>
      <c r="F28" s="10" t="str">
        <f ca="1" t="shared" si="1"/>
        <v>E</v>
      </c>
      <c r="H28" s="143"/>
      <c r="I28" s="144"/>
      <c r="J28" s="145" t="str">
        <f ca="1" t="shared" si="2"/>
        <v>Y</v>
      </c>
    </row>
    <row r="29" spans="2:10" ht="11.25">
      <c r="B29" s="26"/>
      <c r="C29" s="10">
        <f t="shared" si="3"/>
        <v>27</v>
      </c>
      <c r="D29" s="10">
        <f t="shared" si="4"/>
        <v>7</v>
      </c>
      <c r="E29" s="95" t="str">
        <f ca="1" t="shared" si="0"/>
        <v>One 100 Mbps LC-type connector single mode fiber 100BASE-FX Ethernet for up to 15 km</v>
      </c>
      <c r="F29" s="10" t="str">
        <f ca="1" t="shared" si="1"/>
        <v>F</v>
      </c>
      <c r="H29" s="143"/>
      <c r="I29" s="144"/>
      <c r="J29" s="145" t="str">
        <f ca="1" t="shared" si="2"/>
        <v>Y</v>
      </c>
    </row>
    <row r="30" spans="2:10" ht="11.25">
      <c r="B30" s="26"/>
      <c r="C30" s="10">
        <f t="shared" si="3"/>
        <v>28</v>
      </c>
      <c r="D30" s="10">
        <f t="shared" si="4"/>
        <v>8</v>
      </c>
      <c r="E30" s="95" t="str">
        <f ca="1" t="shared" si="0"/>
        <v> </v>
      </c>
      <c r="F30" s="10" t="str">
        <f ca="1" t="shared" si="1"/>
        <v>F</v>
      </c>
      <c r="H30" s="143"/>
      <c r="I30" s="144"/>
      <c r="J30" s="145" t="str">
        <f ca="1" t="shared" si="2"/>
        <v>Y</v>
      </c>
    </row>
    <row r="31" spans="2:10" ht="11.25">
      <c r="B31" s="26"/>
      <c r="C31" s="10">
        <f t="shared" si="3"/>
        <v>29</v>
      </c>
      <c r="D31" s="10">
        <f t="shared" si="4"/>
        <v>9</v>
      </c>
      <c r="E31" s="95" t="str">
        <f ca="1" t="shared" si="0"/>
        <v> </v>
      </c>
      <c r="F31" s="10" t="str">
        <f ca="1" t="shared" si="1"/>
        <v>F</v>
      </c>
      <c r="H31" s="143"/>
      <c r="I31" s="144"/>
      <c r="J31" s="145" t="str">
        <f ca="1" t="shared" si="2"/>
        <v>Y</v>
      </c>
    </row>
    <row r="32" spans="2:10" ht="11.25">
      <c r="B32" s="26"/>
      <c r="C32" s="10"/>
      <c r="D32" s="10"/>
      <c r="E32" s="95"/>
      <c r="F32" s="10"/>
      <c r="H32" s="143"/>
      <c r="I32" s="144"/>
      <c r="J32" s="145"/>
    </row>
    <row r="33" spans="1:10" ht="11.25">
      <c r="A33" s="33">
        <v>6</v>
      </c>
      <c r="B33" s="89" t="str">
        <f>INDEX('Date Drivers'!$A$1:$B$371,Database!C34,2)</f>
        <v>Interface Module 2</v>
      </c>
      <c r="C33" s="90"/>
      <c r="D33" s="93">
        <v>1</v>
      </c>
      <c r="E33" s="94" t="str">
        <f>VLOOKUP(D33,D34:F42,2,FALSE)</f>
        <v>None</v>
      </c>
      <c r="F33" s="93">
        <f>VLOOKUP(D33,D34:F42,3,FALSE)</f>
        <v>0</v>
      </c>
      <c r="H33" s="143"/>
      <c r="I33" s="144"/>
      <c r="J33" s="145" t="str">
        <f>VLOOKUP(D33,D34:J42,7,FALSE)</f>
        <v>Y</v>
      </c>
    </row>
    <row r="34" spans="1:10" ht="11.25">
      <c r="A34" s="26"/>
      <c r="B34" s="26"/>
      <c r="C34" s="98">
        <f>MATCH(A33,'Date Drivers'!$A$1:$A$371,0)</f>
        <v>31</v>
      </c>
      <c r="D34" s="3">
        <v>1</v>
      </c>
      <c r="E34" s="99" t="str">
        <f aca="true" ca="1" t="shared" si="5" ref="E34:E41">INDEX(INDIRECT($M$1&amp;":"&amp;$M$2),C34,1)</f>
        <v>None</v>
      </c>
      <c r="F34" s="98">
        <f aca="true" ca="1" t="shared" si="6" ref="F34:F41">INDEX(INDIRECT($M$1&amp;":"&amp;$M$2),C34,2)</f>
        <v>0</v>
      </c>
      <c r="H34" s="143"/>
      <c r="I34" s="144"/>
      <c r="J34" s="145" t="str">
        <f aca="true" ca="1" t="shared" si="7" ref="J34:J41">INDEX(INDIRECT($M$1&amp;":"&amp;$M$2),C34,5)</f>
        <v>Y</v>
      </c>
    </row>
    <row r="35" spans="2:10" ht="11.25">
      <c r="B35" s="26"/>
      <c r="C35" s="10">
        <f aca="true" t="shared" si="8" ref="C35:D38">C34+1</f>
        <v>32</v>
      </c>
      <c r="D35" s="3">
        <f t="shared" si="8"/>
        <v>2</v>
      </c>
      <c r="E35" s="95" t="str">
        <f ca="1" t="shared" si="5"/>
        <v>One 1 Gbps LC-type connector multi mode fiber 1000BASE-SX Ethernet for up to 0.5 km</v>
      </c>
      <c r="F35" s="10" t="str">
        <f ca="1" t="shared" si="6"/>
        <v>A</v>
      </c>
      <c r="H35" s="143"/>
      <c r="I35" s="144"/>
      <c r="J35" s="145" t="str">
        <f ca="1" t="shared" si="7"/>
        <v>Y</v>
      </c>
    </row>
    <row r="36" spans="3:10" ht="11.25">
      <c r="C36" s="10">
        <f t="shared" si="8"/>
        <v>33</v>
      </c>
      <c r="D36" s="3">
        <f t="shared" si="8"/>
        <v>3</v>
      </c>
      <c r="E36" s="95" t="str">
        <f ca="1" t="shared" si="5"/>
        <v>One 100 Mbps LC-type connector multi mode fiber 100BASE-FX Ethernet for up to 2 km</v>
      </c>
      <c r="F36" s="10" t="str">
        <f ca="1" t="shared" si="6"/>
        <v>B</v>
      </c>
      <c r="H36" s="143"/>
      <c r="I36" s="144"/>
      <c r="J36" s="145" t="str">
        <f ca="1" t="shared" si="7"/>
        <v>Y</v>
      </c>
    </row>
    <row r="37" spans="3:10" ht="11.25">
      <c r="C37" s="10">
        <f t="shared" si="8"/>
        <v>34</v>
      </c>
      <c r="D37" s="3">
        <f t="shared" si="8"/>
        <v>4</v>
      </c>
      <c r="E37" s="95" t="str">
        <f ca="1" t="shared" si="5"/>
        <v>One 1 Gbps RJ45 copper 100BASE-TX/1000BASE-T Ethernet ports</v>
      </c>
      <c r="F37" s="10" t="str">
        <f ca="1" t="shared" si="6"/>
        <v>C</v>
      </c>
      <c r="H37" s="143"/>
      <c r="I37" s="144"/>
      <c r="J37" s="145" t="str">
        <f ca="1" t="shared" si="7"/>
        <v>Y</v>
      </c>
    </row>
    <row r="38" spans="3:10" ht="11.25">
      <c r="C38" s="10">
        <f t="shared" si="8"/>
        <v>35</v>
      </c>
      <c r="D38" s="3">
        <f t="shared" si="8"/>
        <v>5</v>
      </c>
      <c r="E38" s="95" t="str">
        <f ca="1" t="shared" si="5"/>
        <v>One 1 Gbps LC-type connector single mode fiber 1000BASE-LX Ethernet for up to 10 km</v>
      </c>
      <c r="F38" s="10" t="str">
        <f ca="1" t="shared" si="6"/>
        <v>D</v>
      </c>
      <c r="H38" s="143"/>
      <c r="I38" s="144"/>
      <c r="J38" s="145" t="str">
        <f ca="1" t="shared" si="7"/>
        <v>Y</v>
      </c>
    </row>
    <row r="39" spans="3:10" ht="11.25">
      <c r="C39" s="10">
        <f aca="true" t="shared" si="9" ref="C39:D42">C38+1</f>
        <v>36</v>
      </c>
      <c r="D39" s="3">
        <f t="shared" si="9"/>
        <v>6</v>
      </c>
      <c r="E39" s="95" t="str">
        <f ca="1" t="shared" si="5"/>
        <v>One 100 Mbps LC-type connector single mode fiber 100BASE-FX Ethernet for up to 2 km</v>
      </c>
      <c r="F39" s="10" t="str">
        <f ca="1" t="shared" si="6"/>
        <v>E</v>
      </c>
      <c r="H39" s="143"/>
      <c r="I39" s="144"/>
      <c r="J39" s="145" t="str">
        <f ca="1" t="shared" si="7"/>
        <v>Y</v>
      </c>
    </row>
    <row r="40" spans="3:10" ht="11.25">
      <c r="C40" s="10">
        <f t="shared" si="9"/>
        <v>37</v>
      </c>
      <c r="D40" s="3">
        <f t="shared" si="9"/>
        <v>7</v>
      </c>
      <c r="E40" s="95" t="str">
        <f ca="1" t="shared" si="5"/>
        <v>One 100 Mbps LC-type connector single mode fiber 100BASE-FX Ethernet for up to 15 km</v>
      </c>
      <c r="F40" s="10" t="str">
        <f ca="1" t="shared" si="6"/>
        <v>F</v>
      </c>
      <c r="H40" s="143"/>
      <c r="I40" s="144"/>
      <c r="J40" s="145" t="str">
        <f ca="1" t="shared" si="7"/>
        <v>Y</v>
      </c>
    </row>
    <row r="41" spans="3:10" ht="11.25">
      <c r="C41" s="10">
        <f t="shared" si="9"/>
        <v>38</v>
      </c>
      <c r="D41" s="3">
        <f t="shared" si="9"/>
        <v>8</v>
      </c>
      <c r="E41" s="95" t="str">
        <f ca="1" t="shared" si="5"/>
        <v> </v>
      </c>
      <c r="F41" s="10" t="str">
        <f ca="1" t="shared" si="6"/>
        <v>F</v>
      </c>
      <c r="H41" s="143"/>
      <c r="I41" s="144"/>
      <c r="J41" s="145" t="str">
        <f ca="1" t="shared" si="7"/>
        <v>Y</v>
      </c>
    </row>
    <row r="42" spans="3:10" ht="11.25">
      <c r="C42" s="10">
        <f t="shared" si="9"/>
        <v>39</v>
      </c>
      <c r="D42" s="3">
        <f t="shared" si="9"/>
        <v>9</v>
      </c>
      <c r="E42" s="95" t="str">
        <f ca="1">INDEX(INDIRECT($M$1&amp;":"&amp;$M$2),C42,1)</f>
        <v> </v>
      </c>
      <c r="F42" s="10" t="str">
        <f ca="1">INDEX(INDIRECT($M$1&amp;":"&amp;$M$2),C42,2)</f>
        <v>F</v>
      </c>
      <c r="H42" s="143"/>
      <c r="I42" s="144"/>
      <c r="J42" s="145" t="str">
        <f ca="1">INDEX(INDIRECT($M$1&amp;":"&amp;$M$2),C42,5)</f>
        <v>Y</v>
      </c>
    </row>
    <row r="43" spans="3:10" ht="11.25">
      <c r="C43" s="13"/>
      <c r="E43" s="96"/>
      <c r="F43" s="13"/>
      <c r="H43" s="143"/>
      <c r="I43" s="144"/>
      <c r="J43" s="145"/>
    </row>
    <row r="44" spans="1:10" ht="11.25">
      <c r="A44" s="33">
        <v>7</v>
      </c>
      <c r="B44" s="89" t="str">
        <f>INDEX('Date Drivers'!$A$1:$B$371,Database!C45,2)</f>
        <v>Interface Module 3</v>
      </c>
      <c r="C44" s="90"/>
      <c r="D44" s="93">
        <v>1</v>
      </c>
      <c r="E44" s="94" t="str">
        <f>VLOOKUP(D44,D45:F53,2,FALSE)</f>
        <v>None</v>
      </c>
      <c r="F44" s="93">
        <f>VLOOKUP(D44,D45:F53,3,FALSE)</f>
        <v>0</v>
      </c>
      <c r="H44" s="143"/>
      <c r="I44" s="144"/>
      <c r="J44" s="145" t="str">
        <f>VLOOKUP(D44,D45:J53,7,FALSE)</f>
        <v>Y</v>
      </c>
    </row>
    <row r="45" spans="1:10" ht="11.25">
      <c r="A45" s="26"/>
      <c r="B45" s="26"/>
      <c r="C45" s="98">
        <f>MATCH(A44,'Date Drivers'!$A$1:$A$371,0)</f>
        <v>41</v>
      </c>
      <c r="D45" s="98">
        <v>1</v>
      </c>
      <c r="E45" s="99" t="str">
        <f aca="true" ca="1" t="shared" si="10" ref="E45:E53">INDEX(INDIRECT($M$1&amp;":"&amp;$M$2),C45,1)</f>
        <v>None</v>
      </c>
      <c r="F45" s="98">
        <f aca="true" ca="1" t="shared" si="11" ref="F45:F53">INDEX(INDIRECT($M$1&amp;":"&amp;$M$2),C45,2)</f>
        <v>0</v>
      </c>
      <c r="H45" s="143"/>
      <c r="I45" s="144"/>
      <c r="J45" s="145" t="str">
        <f aca="true" ca="1" t="shared" si="12" ref="J45:J53">INDEX(INDIRECT($M$1&amp;":"&amp;$M$2),C45,5)</f>
        <v>Y</v>
      </c>
    </row>
    <row r="46" spans="2:10" ht="11.25">
      <c r="B46" s="26"/>
      <c r="C46" s="10">
        <f aca="true" t="shared" si="13" ref="C46:D53">C45+1</f>
        <v>42</v>
      </c>
      <c r="D46" s="3">
        <f t="shared" si="13"/>
        <v>2</v>
      </c>
      <c r="E46" s="95" t="str">
        <f ca="1" t="shared" si="10"/>
        <v>One 1 Gbps LC-type connector multi mode fiber 1000BASE-SX Ethernet for up to 0.5 km</v>
      </c>
      <c r="F46" s="10" t="str">
        <f ca="1" t="shared" si="11"/>
        <v>A</v>
      </c>
      <c r="H46" s="143"/>
      <c r="I46" s="144"/>
      <c r="J46" s="145" t="str">
        <f ca="1" t="shared" si="12"/>
        <v>Y</v>
      </c>
    </row>
    <row r="47" spans="2:10" ht="11.25">
      <c r="B47" s="26"/>
      <c r="C47" s="10">
        <f t="shared" si="13"/>
        <v>43</v>
      </c>
      <c r="D47" s="3">
        <f t="shared" si="13"/>
        <v>3</v>
      </c>
      <c r="E47" s="95" t="str">
        <f ca="1" t="shared" si="10"/>
        <v>One 100 Mbps LC-type connector multi mode fiber 100BASE-FX Ethernet for up to 2 km</v>
      </c>
      <c r="F47" s="10" t="str">
        <f ca="1" t="shared" si="11"/>
        <v>B</v>
      </c>
      <c r="H47" s="143"/>
      <c r="I47" s="144"/>
      <c r="J47" s="145" t="str">
        <f ca="1" t="shared" si="12"/>
        <v>Y</v>
      </c>
    </row>
    <row r="48" spans="2:10" ht="11.25">
      <c r="B48" s="26"/>
      <c r="C48" s="10">
        <f t="shared" si="13"/>
        <v>44</v>
      </c>
      <c r="D48" s="3">
        <f t="shared" si="13"/>
        <v>4</v>
      </c>
      <c r="E48" s="95" t="str">
        <f ca="1" t="shared" si="10"/>
        <v>One 1 Gbps RJ45 copper 100BASE-TX/1000BASE-T Ethernet ports</v>
      </c>
      <c r="F48" s="10" t="str">
        <f ca="1" t="shared" si="11"/>
        <v>C</v>
      </c>
      <c r="H48" s="143"/>
      <c r="I48" s="144"/>
      <c r="J48" s="145" t="str">
        <f ca="1" t="shared" si="12"/>
        <v>Y</v>
      </c>
    </row>
    <row r="49" spans="2:10" ht="11.25">
      <c r="B49" s="26"/>
      <c r="C49" s="10">
        <f t="shared" si="13"/>
        <v>45</v>
      </c>
      <c r="D49" s="3">
        <f t="shared" si="13"/>
        <v>5</v>
      </c>
      <c r="E49" s="95" t="str">
        <f ca="1" t="shared" si="10"/>
        <v>One 1 Gbps LC-type connector single mode fiber 1000BASE-LX Ethernet for up to 10 km</v>
      </c>
      <c r="F49" s="10" t="str">
        <f ca="1" t="shared" si="11"/>
        <v>D</v>
      </c>
      <c r="H49" s="143"/>
      <c r="I49" s="144"/>
      <c r="J49" s="145" t="str">
        <f ca="1" t="shared" si="12"/>
        <v>Y</v>
      </c>
    </row>
    <row r="50" spans="2:10" ht="11.25">
      <c r="B50" s="26"/>
      <c r="C50" s="10">
        <f t="shared" si="13"/>
        <v>46</v>
      </c>
      <c r="D50" s="3">
        <f t="shared" si="13"/>
        <v>6</v>
      </c>
      <c r="E50" s="95" t="str">
        <f ca="1" t="shared" si="10"/>
        <v>One 100 Mbps LC-type connector single mode fiber 100BASE-FX Ethernet for up to 2 km</v>
      </c>
      <c r="F50" s="10" t="str">
        <f ca="1" t="shared" si="11"/>
        <v>E</v>
      </c>
      <c r="H50" s="143"/>
      <c r="I50" s="144"/>
      <c r="J50" s="145" t="str">
        <f ca="1" t="shared" si="12"/>
        <v>Y</v>
      </c>
    </row>
    <row r="51" spans="2:10" ht="11.25">
      <c r="B51" s="26"/>
      <c r="C51" s="10">
        <f t="shared" si="13"/>
        <v>47</v>
      </c>
      <c r="D51" s="3">
        <f t="shared" si="13"/>
        <v>7</v>
      </c>
      <c r="E51" s="95" t="str">
        <f ca="1" t="shared" si="10"/>
        <v>One 100 Mbps LC-type connector single mode fiber 100BASE-FX Ethernet for up to 15 km</v>
      </c>
      <c r="F51" s="10" t="str">
        <f ca="1" t="shared" si="11"/>
        <v>F</v>
      </c>
      <c r="H51" s="143"/>
      <c r="I51" s="144"/>
      <c r="J51" s="145" t="str">
        <f ca="1" t="shared" si="12"/>
        <v>Y</v>
      </c>
    </row>
    <row r="52" spans="2:10" ht="11.25">
      <c r="B52" s="26"/>
      <c r="C52" s="10">
        <f t="shared" si="13"/>
        <v>48</v>
      </c>
      <c r="D52" s="3">
        <f t="shared" si="13"/>
        <v>8</v>
      </c>
      <c r="E52" s="95" t="str">
        <f ca="1" t="shared" si="10"/>
        <v> </v>
      </c>
      <c r="F52" s="10" t="str">
        <f ca="1" t="shared" si="11"/>
        <v>F</v>
      </c>
      <c r="H52" s="143"/>
      <c r="I52" s="144"/>
      <c r="J52" s="145" t="str">
        <f ca="1" t="shared" si="12"/>
        <v>Y</v>
      </c>
    </row>
    <row r="53" spans="2:10" ht="11.25">
      <c r="B53" s="26"/>
      <c r="C53" s="10">
        <f t="shared" si="13"/>
        <v>49</v>
      </c>
      <c r="D53" s="3">
        <f t="shared" si="13"/>
        <v>9</v>
      </c>
      <c r="E53" s="95" t="str">
        <f ca="1" t="shared" si="10"/>
        <v> </v>
      </c>
      <c r="F53" s="10" t="str">
        <f ca="1" t="shared" si="11"/>
        <v>F</v>
      </c>
      <c r="H53" s="143"/>
      <c r="I53" s="144"/>
      <c r="J53" s="145" t="str">
        <f ca="1" t="shared" si="12"/>
        <v>Y</v>
      </c>
    </row>
    <row r="54" spans="3:10" ht="11.25">
      <c r="C54" s="13"/>
      <c r="D54" s="13"/>
      <c r="E54" s="96"/>
      <c r="F54" s="13"/>
      <c r="H54" s="143"/>
      <c r="I54" s="144"/>
      <c r="J54" s="145"/>
    </row>
    <row r="55" spans="1:10" ht="11.25">
      <c r="A55" s="33">
        <v>8</v>
      </c>
      <c r="B55" s="89" t="str">
        <f>INDEX('Date Drivers'!$A$1:$B$371,Database!C56,2)</f>
        <v>Interface Module 4</v>
      </c>
      <c r="C55" s="90"/>
      <c r="D55" s="93">
        <v>1</v>
      </c>
      <c r="E55" s="94" t="str">
        <f>VLOOKUP(D55,D56:F64,2,FALSE)</f>
        <v>None</v>
      </c>
      <c r="F55" s="93">
        <f>VLOOKUP(D55,D56:F64,3,FALSE)</f>
        <v>0</v>
      </c>
      <c r="H55" s="143"/>
      <c r="I55" s="144"/>
      <c r="J55" s="145" t="str">
        <f>VLOOKUP(D55,D56:J64,7,FALSE)</f>
        <v>Y</v>
      </c>
    </row>
    <row r="56" spans="1:10" ht="11.25">
      <c r="A56" s="26"/>
      <c r="B56" s="26"/>
      <c r="C56" s="98">
        <f>MATCH(A55,'Date Drivers'!$A$1:$A$371,0)</f>
        <v>51</v>
      </c>
      <c r="D56" s="98">
        <v>1</v>
      </c>
      <c r="E56" s="99" t="str">
        <f ca="1">INDEX(INDIRECT($M$1&amp;":"&amp;$M$2),C56,1)</f>
        <v>None</v>
      </c>
      <c r="F56" s="98">
        <f ca="1">INDEX(INDIRECT($M$1&amp;":"&amp;$M$2),C56,2)</f>
        <v>0</v>
      </c>
      <c r="H56" s="143"/>
      <c r="I56" s="144"/>
      <c r="J56" s="145" t="str">
        <f ca="1">INDEX(INDIRECT($M$1&amp;":"&amp;$M$2),C56,5)</f>
        <v>Y</v>
      </c>
    </row>
    <row r="57" spans="2:10" ht="11.25">
      <c r="B57" s="26"/>
      <c r="C57" s="10">
        <f aca="true" t="shared" si="14" ref="C57:D64">C56+1</f>
        <v>52</v>
      </c>
      <c r="D57" s="3">
        <f t="shared" si="14"/>
        <v>2</v>
      </c>
      <c r="E57" s="95" t="str">
        <f aca="true" ca="1" t="shared" si="15" ref="E57:E64">INDEX(INDIRECT($M$1&amp;":"&amp;$M$2),C57,1)</f>
        <v>One 1 Gbps LC-type connector multi mode fiber 1000BASE-SX Ethernet for up to 0.5 km</v>
      </c>
      <c r="F57" s="10" t="str">
        <f aca="true" ca="1" t="shared" si="16" ref="F57:F64">INDEX(INDIRECT($M$1&amp;":"&amp;$M$2),C57,2)</f>
        <v>A</v>
      </c>
      <c r="H57" s="143"/>
      <c r="I57" s="144"/>
      <c r="J57" s="145" t="str">
        <f aca="true" ca="1" t="shared" si="17" ref="J57:J64">INDEX(INDIRECT($M$1&amp;":"&amp;$M$2),C57,5)</f>
        <v>Y</v>
      </c>
    </row>
    <row r="58" spans="2:10" ht="11.25">
      <c r="B58" s="26"/>
      <c r="C58" s="10">
        <f t="shared" si="14"/>
        <v>53</v>
      </c>
      <c r="D58" s="3">
        <f t="shared" si="14"/>
        <v>3</v>
      </c>
      <c r="E58" s="95" t="str">
        <f ca="1" t="shared" si="15"/>
        <v>One 100 Mbps LC-type connector multi mode fiber 100BASE-FX Ethernet for up to 2 km</v>
      </c>
      <c r="F58" s="10" t="str">
        <f ca="1" t="shared" si="16"/>
        <v>B</v>
      </c>
      <c r="H58" s="143"/>
      <c r="I58" s="144"/>
      <c r="J58" s="145" t="str">
        <f ca="1" t="shared" si="17"/>
        <v>Y</v>
      </c>
    </row>
    <row r="59" spans="2:10" ht="11.25">
      <c r="B59" s="26"/>
      <c r="C59" s="10">
        <f t="shared" si="14"/>
        <v>54</v>
      </c>
      <c r="D59" s="3">
        <f t="shared" si="14"/>
        <v>4</v>
      </c>
      <c r="E59" s="95" t="str">
        <f ca="1" t="shared" si="15"/>
        <v>One 1 Gbps RJ45 copper 100BASE-TX/1000BASE-T Ethernet ports</v>
      </c>
      <c r="F59" s="10" t="str">
        <f ca="1" t="shared" si="16"/>
        <v>C</v>
      </c>
      <c r="H59" s="143"/>
      <c r="I59" s="144"/>
      <c r="J59" s="145" t="str">
        <f ca="1" t="shared" si="17"/>
        <v>Y</v>
      </c>
    </row>
    <row r="60" spans="2:10" ht="11.25">
      <c r="B60" s="26"/>
      <c r="C60" s="10">
        <f t="shared" si="14"/>
        <v>55</v>
      </c>
      <c r="D60" s="3">
        <f t="shared" si="14"/>
        <v>5</v>
      </c>
      <c r="E60" s="95" t="str">
        <f ca="1" t="shared" si="15"/>
        <v>One 1 Gbps LC-type connector single mode fiber 1000BASE-LX Ethernet for up to 10 km</v>
      </c>
      <c r="F60" s="10" t="str">
        <f ca="1" t="shared" si="16"/>
        <v>D</v>
      </c>
      <c r="H60" s="143"/>
      <c r="I60" s="144"/>
      <c r="J60" s="145" t="str">
        <f ca="1" t="shared" si="17"/>
        <v>Y</v>
      </c>
    </row>
    <row r="61" spans="2:10" ht="11.25">
      <c r="B61" s="26"/>
      <c r="C61" s="10">
        <f t="shared" si="14"/>
        <v>56</v>
      </c>
      <c r="D61" s="3">
        <f t="shared" si="14"/>
        <v>6</v>
      </c>
      <c r="E61" s="95" t="str">
        <f ca="1" t="shared" si="15"/>
        <v>One 100 Mbps LC-type connector single mode fiber 100BASE-FX Ethernet for up to 2 km</v>
      </c>
      <c r="F61" s="10" t="str">
        <f ca="1" t="shared" si="16"/>
        <v>E</v>
      </c>
      <c r="H61" s="143"/>
      <c r="I61" s="144"/>
      <c r="J61" s="145" t="str">
        <f ca="1" t="shared" si="17"/>
        <v>Y</v>
      </c>
    </row>
    <row r="62" spans="2:10" ht="11.25">
      <c r="B62" s="26"/>
      <c r="C62" s="10">
        <f t="shared" si="14"/>
        <v>57</v>
      </c>
      <c r="D62" s="3">
        <f t="shared" si="14"/>
        <v>7</v>
      </c>
      <c r="E62" s="95" t="str">
        <f ca="1" t="shared" si="15"/>
        <v>One 100 Mbps LC-type connector single mode fiber 100BASE-FX Ethernet for up to 15 km</v>
      </c>
      <c r="F62" s="10" t="str">
        <f ca="1" t="shared" si="16"/>
        <v>F</v>
      </c>
      <c r="H62" s="143"/>
      <c r="I62" s="144"/>
      <c r="J62" s="145" t="str">
        <f ca="1" t="shared" si="17"/>
        <v>Y</v>
      </c>
    </row>
    <row r="63" spans="2:10" ht="11.25">
      <c r="B63" s="26"/>
      <c r="C63" s="10">
        <f t="shared" si="14"/>
        <v>58</v>
      </c>
      <c r="D63" s="3">
        <f t="shared" si="14"/>
        <v>8</v>
      </c>
      <c r="E63" s="95" t="str">
        <f ca="1" t="shared" si="15"/>
        <v> </v>
      </c>
      <c r="F63" s="10" t="str">
        <f ca="1" t="shared" si="16"/>
        <v>F</v>
      </c>
      <c r="H63" s="143"/>
      <c r="I63" s="144"/>
      <c r="J63" s="145" t="str">
        <f ca="1" t="shared" si="17"/>
        <v>Y</v>
      </c>
    </row>
    <row r="64" spans="2:10" ht="11.25">
      <c r="B64" s="26"/>
      <c r="C64" s="10">
        <f t="shared" si="14"/>
        <v>59</v>
      </c>
      <c r="D64" s="3">
        <f t="shared" si="14"/>
        <v>9</v>
      </c>
      <c r="E64" s="95" t="str">
        <f ca="1" t="shared" si="15"/>
        <v> </v>
      </c>
      <c r="F64" s="10" t="str">
        <f ca="1" t="shared" si="16"/>
        <v>F</v>
      </c>
      <c r="H64" s="143"/>
      <c r="I64" s="144"/>
      <c r="J64" s="145" t="str">
        <f ca="1" t="shared" si="17"/>
        <v>Y</v>
      </c>
    </row>
    <row r="65" spans="3:10" ht="11.25">
      <c r="C65" s="13"/>
      <c r="D65" s="13"/>
      <c r="E65" s="96"/>
      <c r="F65" s="13"/>
      <c r="H65" s="143"/>
      <c r="I65" s="144"/>
      <c r="J65" s="145"/>
    </row>
    <row r="66" spans="1:10" ht="11.25">
      <c r="A66" s="33">
        <v>9</v>
      </c>
      <c r="B66" s="89" t="str">
        <f>INDEX('Date Drivers'!$A$1:$B$371,Database!C67,2)</f>
        <v>Interface Module 5</v>
      </c>
      <c r="C66" s="90"/>
      <c r="D66" s="93">
        <v>1</v>
      </c>
      <c r="E66" s="94" t="str">
        <f>VLOOKUP(D66,D67:F75,2,FALSE)</f>
        <v>None</v>
      </c>
      <c r="F66" s="93">
        <f>VLOOKUP(D66,D67:F75,3,FALSE)</f>
        <v>0</v>
      </c>
      <c r="H66" s="143"/>
      <c r="I66" s="144"/>
      <c r="J66" s="145" t="str">
        <f>VLOOKUP(D66,D67:J75,7,FALSE)</f>
        <v>Y</v>
      </c>
    </row>
    <row r="67" spans="1:10" ht="11.25">
      <c r="A67" s="26"/>
      <c r="B67" s="26"/>
      <c r="C67" s="98">
        <f>MATCH(A66,'Date Drivers'!$A$1:$A$371,0)</f>
        <v>61</v>
      </c>
      <c r="D67" s="98">
        <v>1</v>
      </c>
      <c r="E67" s="99" t="str">
        <f ca="1">INDEX(INDIRECT($M$1&amp;":"&amp;$M$2),C67,1)</f>
        <v>None</v>
      </c>
      <c r="F67" s="98">
        <f ca="1">INDEX(INDIRECT($M$1&amp;":"&amp;$M$2),C67,2)</f>
        <v>0</v>
      </c>
      <c r="H67" s="143"/>
      <c r="I67" s="144"/>
      <c r="J67" s="145" t="str">
        <f ca="1">INDEX(INDIRECT($M$1&amp;":"&amp;$M$2),C67,5)</f>
        <v>Y</v>
      </c>
    </row>
    <row r="68" spans="2:10" ht="11.25">
      <c r="B68" s="26"/>
      <c r="C68" s="10">
        <f aca="true" t="shared" si="18" ref="C68:D75">C67+1</f>
        <v>62</v>
      </c>
      <c r="D68" s="3">
        <f t="shared" si="18"/>
        <v>2</v>
      </c>
      <c r="E68" s="95" t="str">
        <f aca="true" ca="1" t="shared" si="19" ref="E68:E75">INDEX(INDIRECT($M$1&amp;":"&amp;$M$2),C68,1)</f>
        <v>One 1 Gbps LC-type connector multi mode fiber 1000BASE-SX Ethernet for up to 0.5 km</v>
      </c>
      <c r="F68" s="10" t="str">
        <f aca="true" ca="1" t="shared" si="20" ref="F68:F75">INDEX(INDIRECT($M$1&amp;":"&amp;$M$2),C68,2)</f>
        <v>A</v>
      </c>
      <c r="H68" s="143"/>
      <c r="I68" s="144"/>
      <c r="J68" s="145" t="str">
        <f aca="true" ca="1" t="shared" si="21" ref="J68:J75">INDEX(INDIRECT($M$1&amp;":"&amp;$M$2),C68,5)</f>
        <v>Y</v>
      </c>
    </row>
    <row r="69" spans="2:10" ht="11.25">
      <c r="B69" s="26"/>
      <c r="C69" s="10">
        <f t="shared" si="18"/>
        <v>63</v>
      </c>
      <c r="D69" s="3">
        <f t="shared" si="18"/>
        <v>3</v>
      </c>
      <c r="E69" s="95" t="str">
        <f ca="1" t="shared" si="19"/>
        <v>One 100 Mbps LC-type connector multi mode fiber 100BASE-FX Ethernet for up to 2 km</v>
      </c>
      <c r="F69" s="10" t="str">
        <f ca="1" t="shared" si="20"/>
        <v>B</v>
      </c>
      <c r="H69" s="143"/>
      <c r="I69" s="144"/>
      <c r="J69" s="145" t="str">
        <f ca="1" t="shared" si="21"/>
        <v>Y</v>
      </c>
    </row>
    <row r="70" spans="2:10" ht="11.25">
      <c r="B70" s="26"/>
      <c r="C70" s="10">
        <f t="shared" si="18"/>
        <v>64</v>
      </c>
      <c r="D70" s="3">
        <f t="shared" si="18"/>
        <v>4</v>
      </c>
      <c r="E70" s="95" t="str">
        <f ca="1" t="shared" si="19"/>
        <v>One 1 Gbps RJ45 copper 100BASE-TX/1000BASE-T Ethernet ports</v>
      </c>
      <c r="F70" s="10" t="str">
        <f ca="1" t="shared" si="20"/>
        <v>C</v>
      </c>
      <c r="H70" s="143"/>
      <c r="I70" s="144"/>
      <c r="J70" s="145" t="str">
        <f ca="1" t="shared" si="21"/>
        <v>Y</v>
      </c>
    </row>
    <row r="71" spans="2:10" ht="11.25">
      <c r="B71" s="26"/>
      <c r="C71" s="10">
        <f t="shared" si="18"/>
        <v>65</v>
      </c>
      <c r="D71" s="3">
        <f t="shared" si="18"/>
        <v>5</v>
      </c>
      <c r="E71" s="95" t="str">
        <f ca="1" t="shared" si="19"/>
        <v>One 1 Gbps LC-type connector single mode fiber 1000BASE-LX Ethernet for up to 10 km</v>
      </c>
      <c r="F71" s="10" t="str">
        <f ca="1" t="shared" si="20"/>
        <v>D</v>
      </c>
      <c r="H71" s="143"/>
      <c r="I71" s="144"/>
      <c r="J71" s="145" t="str">
        <f ca="1" t="shared" si="21"/>
        <v>Y</v>
      </c>
    </row>
    <row r="72" spans="2:10" ht="11.25">
      <c r="B72" s="26"/>
      <c r="C72" s="10">
        <f t="shared" si="18"/>
        <v>66</v>
      </c>
      <c r="D72" s="3">
        <f t="shared" si="18"/>
        <v>6</v>
      </c>
      <c r="E72" s="95" t="str">
        <f ca="1" t="shared" si="19"/>
        <v>One 100 Mbps LC-type connector single mode fiber 100BASE-FX Ethernet for up to 2 km</v>
      </c>
      <c r="F72" s="10" t="str">
        <f ca="1" t="shared" si="20"/>
        <v>E</v>
      </c>
      <c r="H72" s="143"/>
      <c r="I72" s="144"/>
      <c r="J72" s="145" t="str">
        <f ca="1" t="shared" si="21"/>
        <v>Y</v>
      </c>
    </row>
    <row r="73" spans="2:10" ht="11.25">
      <c r="B73" s="26"/>
      <c r="C73" s="10">
        <f t="shared" si="18"/>
        <v>67</v>
      </c>
      <c r="D73" s="3">
        <f t="shared" si="18"/>
        <v>7</v>
      </c>
      <c r="E73" s="95" t="str">
        <f ca="1" t="shared" si="19"/>
        <v>One 100 Mbps LC-type connector single mode fiber 100BASE-FX Ethernet for up to 15 km</v>
      </c>
      <c r="F73" s="10" t="str">
        <f ca="1" t="shared" si="20"/>
        <v>F</v>
      </c>
      <c r="H73" s="143"/>
      <c r="I73" s="144"/>
      <c r="J73" s="145" t="str">
        <f ca="1" t="shared" si="21"/>
        <v>Y</v>
      </c>
    </row>
    <row r="74" spans="2:10" ht="11.25">
      <c r="B74" s="26"/>
      <c r="C74" s="10">
        <f t="shared" si="18"/>
        <v>68</v>
      </c>
      <c r="D74" s="3">
        <f t="shared" si="18"/>
        <v>8</v>
      </c>
      <c r="E74" s="95" t="str">
        <f ca="1" t="shared" si="19"/>
        <v> </v>
      </c>
      <c r="F74" s="10" t="str">
        <f ca="1" t="shared" si="20"/>
        <v>F</v>
      </c>
      <c r="H74" s="143"/>
      <c r="I74" s="144"/>
      <c r="J74" s="145" t="str">
        <f ca="1" t="shared" si="21"/>
        <v>Y</v>
      </c>
    </row>
    <row r="75" spans="2:10" ht="11.25">
      <c r="B75" s="26"/>
      <c r="C75" s="10">
        <f t="shared" si="18"/>
        <v>69</v>
      </c>
      <c r="D75" s="3">
        <f t="shared" si="18"/>
        <v>9</v>
      </c>
      <c r="E75" s="95" t="str">
        <f ca="1" t="shared" si="19"/>
        <v> </v>
      </c>
      <c r="F75" s="10" t="str">
        <f ca="1" t="shared" si="20"/>
        <v>F</v>
      </c>
      <c r="H75" s="143"/>
      <c r="I75" s="144"/>
      <c r="J75" s="145" t="str">
        <f ca="1" t="shared" si="21"/>
        <v>Y</v>
      </c>
    </row>
    <row r="76" spans="3:10" ht="11.25">
      <c r="C76" s="13"/>
      <c r="D76" s="13"/>
      <c r="E76" s="96"/>
      <c r="F76" s="13"/>
      <c r="H76" s="143"/>
      <c r="I76" s="144"/>
      <c r="J76" s="145"/>
    </row>
    <row r="77" spans="1:10" ht="11.25">
      <c r="A77" s="33">
        <v>10</v>
      </c>
      <c r="B77" s="89" t="str">
        <f>INDEX('Date Drivers'!$A$1:$B$371,Database!C78,2)</f>
        <v>Interface Module 6</v>
      </c>
      <c r="C77" s="90"/>
      <c r="D77" s="93">
        <v>1</v>
      </c>
      <c r="E77" s="94" t="str">
        <f>VLOOKUP(D77,D78:F86,2,FALSE)</f>
        <v>None</v>
      </c>
      <c r="F77" s="93">
        <f>VLOOKUP(D77,D78:F86,3,FALSE)</f>
        <v>0</v>
      </c>
      <c r="H77" s="143"/>
      <c r="I77" s="144"/>
      <c r="J77" s="145" t="str">
        <f>VLOOKUP(D77,D78:J86,7,FALSE)</f>
        <v>Y</v>
      </c>
    </row>
    <row r="78" spans="1:10" ht="11.25">
      <c r="A78" s="26"/>
      <c r="B78" s="26"/>
      <c r="C78" s="98">
        <f>MATCH(A77,'Date Drivers'!$A$1:$A$371,0)</f>
        <v>71</v>
      </c>
      <c r="D78" s="98">
        <v>1</v>
      </c>
      <c r="E78" s="99" t="str">
        <f ca="1">INDEX(INDIRECT($M$1&amp;":"&amp;$M$2),C78,1)</f>
        <v>None</v>
      </c>
      <c r="F78" s="98">
        <f ca="1">INDEX(INDIRECT($M$1&amp;":"&amp;$M$2),C78,2)</f>
        <v>0</v>
      </c>
      <c r="H78" s="143"/>
      <c r="I78" s="144"/>
      <c r="J78" s="145" t="str">
        <f ca="1">INDEX(INDIRECT($M$1&amp;":"&amp;$M$2),C78,5)</f>
        <v>Y</v>
      </c>
    </row>
    <row r="79" spans="2:10" ht="11.25">
      <c r="B79" s="26"/>
      <c r="C79" s="10">
        <f aca="true" t="shared" si="22" ref="C79:D86">C78+1</f>
        <v>72</v>
      </c>
      <c r="D79" s="3">
        <f t="shared" si="22"/>
        <v>2</v>
      </c>
      <c r="E79" s="95" t="str">
        <f aca="true" ca="1" t="shared" si="23" ref="E79:E86">INDEX(INDIRECT($M$1&amp;":"&amp;$M$2),C79,1)</f>
        <v>One 1 Gbps LC-type connector multi mode fiber 1000BASE-SX Ethernet for up to 0.5 km</v>
      </c>
      <c r="F79" s="10" t="str">
        <f aca="true" ca="1" t="shared" si="24" ref="F79:F86">INDEX(INDIRECT($M$1&amp;":"&amp;$M$2),C79,2)</f>
        <v>A</v>
      </c>
      <c r="H79" s="143"/>
      <c r="I79" s="144"/>
      <c r="J79" s="145" t="str">
        <f aca="true" ca="1" t="shared" si="25" ref="J79:J86">INDEX(INDIRECT($M$1&amp;":"&amp;$M$2),C79,5)</f>
        <v>Y</v>
      </c>
    </row>
    <row r="80" spans="2:10" ht="11.25">
      <c r="B80" s="26"/>
      <c r="C80" s="10">
        <f t="shared" si="22"/>
        <v>73</v>
      </c>
      <c r="D80" s="3">
        <f t="shared" si="22"/>
        <v>3</v>
      </c>
      <c r="E80" s="95" t="str">
        <f ca="1" t="shared" si="23"/>
        <v>One 100 Mbps LC-type connector multi mode fiber 100BASE-FX Ethernet for up to 2 km</v>
      </c>
      <c r="F80" s="10" t="str">
        <f ca="1" t="shared" si="24"/>
        <v>B</v>
      </c>
      <c r="H80" s="143"/>
      <c r="I80" s="144"/>
      <c r="J80" s="145" t="str">
        <f ca="1" t="shared" si="25"/>
        <v>Y</v>
      </c>
    </row>
    <row r="81" spans="2:10" ht="11.25">
      <c r="B81" s="26"/>
      <c r="C81" s="10">
        <f t="shared" si="22"/>
        <v>74</v>
      </c>
      <c r="D81" s="3">
        <f t="shared" si="22"/>
        <v>4</v>
      </c>
      <c r="E81" s="95" t="str">
        <f ca="1" t="shared" si="23"/>
        <v>One 1 Gbps RJ45 copper 100BASE-TX/1000BASE-T Ethernet ports</v>
      </c>
      <c r="F81" s="10" t="str">
        <f ca="1" t="shared" si="24"/>
        <v>C</v>
      </c>
      <c r="H81" s="143"/>
      <c r="I81" s="144"/>
      <c r="J81" s="145" t="str">
        <f ca="1" t="shared" si="25"/>
        <v>Y</v>
      </c>
    </row>
    <row r="82" spans="2:10" ht="11.25">
      <c r="B82" s="26"/>
      <c r="C82" s="10">
        <f t="shared" si="22"/>
        <v>75</v>
      </c>
      <c r="D82" s="3">
        <f t="shared" si="22"/>
        <v>5</v>
      </c>
      <c r="E82" s="95" t="str">
        <f ca="1" t="shared" si="23"/>
        <v>One 1 Gbps LC-type connector single mode fiber 1000BASE-LX Ethernet for up to 10 km</v>
      </c>
      <c r="F82" s="10" t="str">
        <f ca="1" t="shared" si="24"/>
        <v>D</v>
      </c>
      <c r="H82" s="143"/>
      <c r="I82" s="144"/>
      <c r="J82" s="145" t="str">
        <f ca="1" t="shared" si="25"/>
        <v>Y</v>
      </c>
    </row>
    <row r="83" spans="2:10" ht="11.25">
      <c r="B83" s="26"/>
      <c r="C83" s="10">
        <f t="shared" si="22"/>
        <v>76</v>
      </c>
      <c r="D83" s="3">
        <f t="shared" si="22"/>
        <v>6</v>
      </c>
      <c r="E83" s="95" t="str">
        <f ca="1" t="shared" si="23"/>
        <v>One 100 Mbps LC-type connector single mode fiber 100BASE-FX Ethernet for up to 2 km</v>
      </c>
      <c r="F83" s="10" t="str">
        <f ca="1" t="shared" si="24"/>
        <v>E</v>
      </c>
      <c r="H83" s="143"/>
      <c r="I83" s="144"/>
      <c r="J83" s="145" t="str">
        <f ca="1" t="shared" si="25"/>
        <v>Y</v>
      </c>
    </row>
    <row r="84" spans="2:10" ht="11.25">
      <c r="B84" s="26"/>
      <c r="C84" s="10">
        <f t="shared" si="22"/>
        <v>77</v>
      </c>
      <c r="D84" s="3">
        <f t="shared" si="22"/>
        <v>7</v>
      </c>
      <c r="E84" s="95" t="str">
        <f ca="1" t="shared" si="23"/>
        <v>One 100 Mbps LC-type connector single mode fiber 100BASE-FX Ethernet for up to 15 km</v>
      </c>
      <c r="F84" s="10" t="str">
        <f ca="1" t="shared" si="24"/>
        <v>F</v>
      </c>
      <c r="H84" s="143"/>
      <c r="I84" s="144"/>
      <c r="J84" s="145" t="str">
        <f ca="1" t="shared" si="25"/>
        <v>Y</v>
      </c>
    </row>
    <row r="85" spans="2:10" ht="11.25">
      <c r="B85" s="26"/>
      <c r="C85" s="10">
        <f t="shared" si="22"/>
        <v>78</v>
      </c>
      <c r="D85" s="3">
        <f t="shared" si="22"/>
        <v>8</v>
      </c>
      <c r="E85" s="95" t="str">
        <f ca="1" t="shared" si="23"/>
        <v> </v>
      </c>
      <c r="F85" s="10" t="str">
        <f ca="1" t="shared" si="24"/>
        <v>F</v>
      </c>
      <c r="H85" s="143"/>
      <c r="I85" s="144"/>
      <c r="J85" s="145" t="str">
        <f ca="1" t="shared" si="25"/>
        <v>Y</v>
      </c>
    </row>
    <row r="86" spans="2:10" ht="11.25">
      <c r="B86" s="26"/>
      <c r="C86" s="10">
        <f t="shared" si="22"/>
        <v>79</v>
      </c>
      <c r="D86" s="3">
        <f t="shared" si="22"/>
        <v>9</v>
      </c>
      <c r="E86" s="95" t="str">
        <f ca="1" t="shared" si="23"/>
        <v> </v>
      </c>
      <c r="F86" s="10" t="str">
        <f ca="1" t="shared" si="24"/>
        <v>F</v>
      </c>
      <c r="H86" s="143"/>
      <c r="I86" s="144"/>
      <c r="J86" s="145" t="str">
        <f ca="1" t="shared" si="25"/>
        <v>Y</v>
      </c>
    </row>
    <row r="87" spans="3:10" ht="11.25">
      <c r="C87" s="13"/>
      <c r="D87" s="13"/>
      <c r="E87" s="96"/>
      <c r="F87" s="13"/>
      <c r="H87" s="143"/>
      <c r="I87" s="144"/>
      <c r="J87" s="145"/>
    </row>
    <row r="88" spans="1:10" ht="11.25">
      <c r="A88" s="33">
        <v>11</v>
      </c>
      <c r="B88" s="89" t="str">
        <f>INDEX('Date Drivers'!$A$1:$B$371,Database!C89,2)</f>
        <v>PTP Support</v>
      </c>
      <c r="C88" s="90"/>
      <c r="D88" s="93">
        <v>1</v>
      </c>
      <c r="E88" s="94" t="str">
        <f>VLOOKUP(D88,D89:F90,2,FALSE)</f>
        <v>With PTP (IEEE 1588) support</v>
      </c>
      <c r="F88" s="93" t="str">
        <f>VLOOKUP(D88,D89:F90,3,FALSE)</f>
        <v>P</v>
      </c>
      <c r="H88" s="143"/>
      <c r="I88" s="144"/>
      <c r="J88" s="145" t="str">
        <f>VLOOKUP(D88,D89:J90,7,FALSE)</f>
        <v>Y</v>
      </c>
    </row>
    <row r="89" spans="1:10" ht="11.25">
      <c r="A89" s="161"/>
      <c r="B89" s="162"/>
      <c r="C89" s="98">
        <f>MATCH(A88,'Date Drivers'!$A$1:$A$371,0)</f>
        <v>81</v>
      </c>
      <c r="D89" s="98">
        <v>1</v>
      </c>
      <c r="E89" s="99" t="str">
        <f ca="1">INDEX(INDIRECT($M$1&amp;":"&amp;$M$2),C89,1)</f>
        <v>With PTP (IEEE 1588) support</v>
      </c>
      <c r="F89" s="98" t="str">
        <f ca="1">INDEX(INDIRECT($M$1&amp;":"&amp;$M$2),C89,2)</f>
        <v>P</v>
      </c>
      <c r="H89" s="143"/>
      <c r="I89" s="144"/>
      <c r="J89" s="145" t="str">
        <f ca="1">INDEX(INDIRECT($M$1&amp;":"&amp;$M$2),C89,5)</f>
        <v>Y</v>
      </c>
    </row>
    <row r="90" spans="1:10" ht="11.25">
      <c r="A90" s="36"/>
      <c r="B90" s="162"/>
      <c r="C90" s="10">
        <f>C89+1</f>
        <v>82</v>
      </c>
      <c r="D90" s="10">
        <f>D89+1</f>
        <v>2</v>
      </c>
      <c r="E90" s="95" t="str">
        <f ca="1">INDEX(INDIRECT($M$1&amp;":"&amp;$M$2),C90,1)</f>
        <v>Without PTP (IEEE 1588) support</v>
      </c>
      <c r="F90" s="10" t="str">
        <f ca="1">INDEX(INDIRECT($M$1&amp;":"&amp;$M$2),C90,2)</f>
        <v>X</v>
      </c>
      <c r="H90" s="143"/>
      <c r="I90" s="144"/>
      <c r="J90" s="145" t="str">
        <f ca="1">INDEX(INDIRECT($M$1&amp;":"&amp;$M$2),C90,5)</f>
        <v>Y</v>
      </c>
    </row>
    <row r="91" spans="1:10" ht="11.25">
      <c r="A91" s="37"/>
      <c r="B91" s="12"/>
      <c r="C91" s="13"/>
      <c r="D91" s="13"/>
      <c r="E91" s="96"/>
      <c r="F91" s="13"/>
      <c r="H91" s="143"/>
      <c r="I91" s="144"/>
      <c r="J91" s="145"/>
    </row>
    <row r="92" spans="1:10" ht="11.25">
      <c r="A92" s="33">
        <v>12</v>
      </c>
      <c r="B92" s="89" t="str">
        <f>INDEX('Date Drivers'!$A$1:$B$371,Database!C93,2)</f>
        <v>Firmware Version</v>
      </c>
      <c r="C92" s="90"/>
      <c r="D92" s="93">
        <v>1</v>
      </c>
      <c r="E92" s="94" t="str">
        <f>VLOOKUP(D92,D93:F94,2,FALSE)</f>
        <v>Latest available firmware</v>
      </c>
      <c r="F92" s="93" t="str">
        <f>VLOOKUP(D92,D93:F94,3,FALSE)</f>
        <v>02</v>
      </c>
      <c r="H92" s="143"/>
      <c r="I92" s="144"/>
      <c r="J92" s="145" t="str">
        <f>VLOOKUP(D92,D93:J93,7,FALSE)</f>
        <v>Y</v>
      </c>
    </row>
    <row r="93" spans="1:10" ht="11.25">
      <c r="A93" s="161"/>
      <c r="B93" s="162"/>
      <c r="C93" s="98">
        <f>MATCH(A92,'Date Drivers'!$A$1:$A$371,0)</f>
        <v>84</v>
      </c>
      <c r="D93" s="98">
        <v>1</v>
      </c>
      <c r="E93" s="99" t="str">
        <f ca="1">INDEX(INDIRECT($M$1&amp;":"&amp;$M$2),C93,1)</f>
        <v>Latest available firmware</v>
      </c>
      <c r="F93" s="98" t="str">
        <f ca="1">INDEX(INDIRECT($M$1&amp;":"&amp;$M$2),C93,2)</f>
        <v>02</v>
      </c>
      <c r="H93" s="143"/>
      <c r="I93" s="144"/>
      <c r="J93" s="145" t="str">
        <f ca="1">INDEX(INDIRECT($M$1&amp;":"&amp;$M$2),C93,5)</f>
        <v>Y</v>
      </c>
    </row>
    <row r="94" spans="1:10" ht="11.25">
      <c r="A94" s="37"/>
      <c r="B94" s="12"/>
      <c r="C94" s="10">
        <f>C93+1</f>
        <v>85</v>
      </c>
      <c r="D94" s="10">
        <f>D93+1</f>
        <v>2</v>
      </c>
      <c r="E94" s="96" t="str">
        <f ca="1">INDEX(INDIRECT($M$1&amp;":"&amp;$M$2),C94,1)</f>
        <v>Legacy firmware</v>
      </c>
      <c r="F94" s="13" t="str">
        <f ca="1">INDEX(INDIRECT($M$1&amp;":"&amp;$M$2),C94,2)</f>
        <v>01</v>
      </c>
      <c r="H94" s="143"/>
      <c r="I94" s="144"/>
      <c r="J94" s="145"/>
    </row>
    <row r="95" spans="1:10" ht="11.25">
      <c r="A95" s="33">
        <v>13</v>
      </c>
      <c r="B95" s="89" t="str">
        <f>INDEX('Date Drivers'!$A$1:$B$371,Database!C96,2)</f>
        <v>Hardware Design Suffix</v>
      </c>
      <c r="C95" s="90"/>
      <c r="D95" s="174">
        <v>1</v>
      </c>
      <c r="E95" s="94" t="str">
        <f>VLOOKUP(D95,D96:F97,2,FALSE)</f>
        <v>Initial Issue</v>
      </c>
      <c r="F95" s="174" t="str">
        <f>VLOOKUP(D95,D96:F97,3,FALSE)</f>
        <v>B</v>
      </c>
      <c r="H95" s="143"/>
      <c r="I95" s="144"/>
      <c r="J95" s="145" t="str">
        <f>VLOOKUP(D95,D96:J97,7,FALSE)</f>
        <v>Y</v>
      </c>
    </row>
    <row r="96" spans="1:10" ht="11.25">
      <c r="A96" s="161"/>
      <c r="B96" s="162"/>
      <c r="C96" s="34">
        <f>MATCH(A95,'Date Drivers'!$A$1:$A$371,0)</f>
        <v>86</v>
      </c>
      <c r="D96" s="98">
        <v>1</v>
      </c>
      <c r="E96" s="175" t="str">
        <f ca="1">INDEX(INDIRECT($M$1&amp;":"&amp;$M$2),C96,1)</f>
        <v>Initial Issue</v>
      </c>
      <c r="F96" s="98" t="str">
        <f ca="1">INDEX(INDIRECT($M$1&amp;":"&amp;$M$2),C96,2)</f>
        <v>B</v>
      </c>
      <c r="H96" s="143"/>
      <c r="I96" s="144"/>
      <c r="J96" s="145" t="str">
        <f ca="1">INDEX(INDIRECT($M$1&amp;":"&amp;$M$2),C96,5)</f>
        <v>Y</v>
      </c>
    </row>
    <row r="97" spans="1:10" ht="11.25">
      <c r="A97" s="161"/>
      <c r="B97" s="162"/>
      <c r="C97" s="36">
        <v>87</v>
      </c>
      <c r="D97" s="10">
        <f>D96+1</f>
        <v>2</v>
      </c>
      <c r="E97" s="8" t="str">
        <f ca="1">INDEX(INDIRECT($M$1&amp;":"&amp;$M$2),C97,1)</f>
        <v> </v>
      </c>
      <c r="F97" s="10" t="str">
        <f ca="1">INDEX(INDIRECT($M$1&amp;":"&amp;$M$2),C97,2)</f>
        <v>B</v>
      </c>
      <c r="H97" s="143"/>
      <c r="I97" s="144"/>
      <c r="J97" s="145" t="str">
        <f ca="1">INDEX(INDIRECT($M$1&amp;":"&amp;$M$2),C97,5)</f>
        <v>Y</v>
      </c>
    </row>
    <row r="98" spans="1:10" ht="11.25">
      <c r="A98" s="37"/>
      <c r="B98" s="12"/>
      <c r="C98" s="37"/>
      <c r="D98" s="13"/>
      <c r="E98" s="12"/>
      <c r="F98" s="13"/>
      <c r="H98" s="146"/>
      <c r="I98" s="147"/>
      <c r="J98" s="148"/>
    </row>
  </sheetData>
  <sheetProtection/>
  <mergeCells count="4">
    <mergeCell ref="A1:D1"/>
    <mergeCell ref="A2:D2"/>
    <mergeCell ref="A4:D4"/>
    <mergeCell ref="A3:D3"/>
  </mergeCells>
  <printOptions/>
  <pageMargins left="0.511811024" right="0.511811024" top="0.787401575" bottom="0.787401575" header="0.31496062" footer="0.3149606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S88"/>
  <sheetViews>
    <sheetView zoomScale="85" zoomScaleNormal="85" zoomScalePageLayoutView="0" workbookViewId="0" topLeftCell="A1">
      <pane xSplit="2" ySplit="1" topLeftCell="J65" activePane="bottomRight" state="frozen"/>
      <selection pane="topLeft" activeCell="A1" sqref="A1"/>
      <selection pane="topRight" activeCell="C1" sqref="C1"/>
      <selection pane="bottomLeft" activeCell="A2" sqref="A2"/>
      <selection pane="bottomRight" activeCell="P88" sqref="P88"/>
    </sheetView>
  </sheetViews>
  <sheetFormatPr defaultColWidth="11.421875" defaultRowHeight="15"/>
  <cols>
    <col min="1" max="1" width="5.00390625" style="3" customWidth="1"/>
    <col min="2" max="2" width="39.8515625" style="15" bestFit="1" customWidth="1"/>
    <col min="3" max="3" width="72.7109375" style="22" customWidth="1"/>
    <col min="4" max="4" width="9.7109375" style="27" customWidth="1"/>
    <col min="5" max="6" width="9.7109375" style="136" customWidth="1"/>
    <col min="7" max="7" width="5.421875" style="27" customWidth="1"/>
    <col min="8" max="8" width="2.57421875" style="15" customWidth="1"/>
    <col min="9" max="9" width="72.7109375" style="22" customWidth="1"/>
    <col min="10" max="10" width="9.7109375" style="27" customWidth="1"/>
    <col min="11" max="12" width="9.7109375" style="136" customWidth="1"/>
    <col min="13" max="13" width="5.421875" style="27" customWidth="1"/>
    <col min="14" max="14" width="2.57421875" style="15" customWidth="1"/>
    <col min="15" max="15" width="72.7109375" style="22" customWidth="1"/>
    <col min="16" max="16" width="9.7109375" style="27" customWidth="1"/>
    <col min="17" max="18" width="9.7109375" style="136" customWidth="1"/>
    <col min="19" max="19" width="5.421875" style="27" customWidth="1"/>
    <col min="20" max="16384" width="11.421875" style="15" customWidth="1"/>
  </cols>
  <sheetData>
    <row r="1" spans="2:19" ht="11.25">
      <c r="B1" s="152" t="s">
        <v>31</v>
      </c>
      <c r="C1" s="153">
        <v>42059</v>
      </c>
      <c r="D1" s="154"/>
      <c r="E1" s="155"/>
      <c r="F1" s="155"/>
      <c r="G1" s="156"/>
      <c r="H1" s="32"/>
      <c r="I1" s="153">
        <v>42060</v>
      </c>
      <c r="J1" s="154"/>
      <c r="K1" s="155"/>
      <c r="L1" s="155"/>
      <c r="M1" s="156"/>
      <c r="N1" s="32"/>
      <c r="O1" s="153">
        <v>42304</v>
      </c>
      <c r="P1" s="154"/>
      <c r="Q1" s="155"/>
      <c r="R1" s="155"/>
      <c r="S1" s="156"/>
    </row>
    <row r="2" spans="2:15" ht="11.25">
      <c r="B2" s="32"/>
      <c r="C2" s="25"/>
      <c r="I2" s="25"/>
      <c r="O2" s="25"/>
    </row>
    <row r="3" spans="1:19" ht="11.25">
      <c r="A3" s="33" t="s">
        <v>41</v>
      </c>
      <c r="B3" s="23" t="s">
        <v>42</v>
      </c>
      <c r="C3" s="31" t="s">
        <v>43</v>
      </c>
      <c r="D3" s="23" t="s">
        <v>44</v>
      </c>
      <c r="E3" s="137" t="s">
        <v>58</v>
      </c>
      <c r="F3" s="137" t="s">
        <v>45</v>
      </c>
      <c r="G3" s="23" t="s">
        <v>46</v>
      </c>
      <c r="I3" s="31" t="s">
        <v>43</v>
      </c>
      <c r="J3" s="23" t="s">
        <v>44</v>
      </c>
      <c r="K3" s="137" t="s">
        <v>58</v>
      </c>
      <c r="L3" s="137" t="s">
        <v>45</v>
      </c>
      <c r="M3" s="23" t="s">
        <v>46</v>
      </c>
      <c r="O3" s="31" t="s">
        <v>43</v>
      </c>
      <c r="P3" s="23" t="s">
        <v>44</v>
      </c>
      <c r="Q3" s="137" t="s">
        <v>58</v>
      </c>
      <c r="R3" s="137" t="s">
        <v>45</v>
      </c>
      <c r="S3" s="23" t="s">
        <v>46</v>
      </c>
    </row>
    <row r="4" spans="2:15" ht="11.25">
      <c r="B4" s="30"/>
      <c r="C4" s="25"/>
      <c r="I4" s="25"/>
      <c r="O4" s="25"/>
    </row>
    <row r="5" spans="1:19" ht="11.25">
      <c r="A5" s="34"/>
      <c r="B5" s="16" t="str">
        <f>HLOOKUP(language!$C$3,language!$E$1:$Z469,2,FALSE)</f>
        <v>Model Type</v>
      </c>
      <c r="C5" s="20" t="str">
        <f>HLOOKUP(language!$C$3,language!$E$1:$Z469,4,FALSE)</f>
        <v>T1000</v>
      </c>
      <c r="D5" s="29"/>
      <c r="E5" s="138">
        <f>prices!B3+prices!B29</f>
        <v>0</v>
      </c>
      <c r="F5" s="138">
        <v>2000</v>
      </c>
      <c r="G5" s="35" t="s">
        <v>47</v>
      </c>
      <c r="I5" s="20" t="str">
        <f>HLOOKUP(language!$C$3,language!$E$1:$Z469,4,FALSE)</f>
        <v>T1000</v>
      </c>
      <c r="J5" s="29"/>
      <c r="K5" s="138"/>
      <c r="L5" s="138"/>
      <c r="M5" s="35" t="s">
        <v>47</v>
      </c>
      <c r="O5" s="20" t="str">
        <f>HLOOKUP(language!$C$3,language!$E$1:$Z469,4,FALSE)</f>
        <v>T1000</v>
      </c>
      <c r="P5" s="29"/>
      <c r="Q5" s="138"/>
      <c r="R5" s="138"/>
      <c r="S5" s="35" t="s">
        <v>47</v>
      </c>
    </row>
    <row r="6" spans="1:19" ht="11.25">
      <c r="A6" s="36"/>
      <c r="B6" s="32"/>
      <c r="C6" s="21" t="str">
        <f>HLOOKUP(language!$C$3,language!$E$1:$Z469,3,FALSE)</f>
        <v>Modular Managed Ethernet Switch Gigabit</v>
      </c>
      <c r="D6" s="30"/>
      <c r="E6" s="139"/>
      <c r="F6" s="139"/>
      <c r="G6" s="17"/>
      <c r="I6" s="21" t="str">
        <f>HLOOKUP(language!$C$3,language!$E$1:$Z469,3,FALSE)</f>
        <v>Modular Managed Ethernet Switch Gigabit</v>
      </c>
      <c r="J6" s="30"/>
      <c r="K6" s="139"/>
      <c r="L6" s="139"/>
      <c r="M6" s="17"/>
      <c r="O6" s="21" t="str">
        <f>HLOOKUP(language!$C$3,language!$E$1:$Z469,3,FALSE)</f>
        <v>Modular Managed Ethernet Switch Gigabit</v>
      </c>
      <c r="P6" s="30"/>
      <c r="Q6" s="139"/>
      <c r="R6" s="139"/>
      <c r="S6" s="17"/>
    </row>
    <row r="7" spans="1:19" ht="11.25">
      <c r="A7" s="36"/>
      <c r="B7" s="32"/>
      <c r="C7" s="21"/>
      <c r="D7" s="30"/>
      <c r="E7" s="139"/>
      <c r="F7" s="139"/>
      <c r="G7" s="17"/>
      <c r="I7" s="21"/>
      <c r="J7" s="30"/>
      <c r="K7" s="139"/>
      <c r="L7" s="139"/>
      <c r="M7" s="17"/>
      <c r="O7" s="21"/>
      <c r="P7" s="30"/>
      <c r="Q7" s="139"/>
      <c r="R7" s="139"/>
      <c r="S7" s="17"/>
    </row>
    <row r="8" spans="1:19" ht="11.25">
      <c r="A8" s="34">
        <v>1</v>
      </c>
      <c r="B8" s="16" t="str">
        <f>HLOOKUP(language!$C$3,language!$E$1:$Z502,5,FALSE)</f>
        <v>Power Supply 1</v>
      </c>
      <c r="C8" s="20" t="str">
        <f>HLOOKUP(language!$C$3,language!$E$1:$Z504,7,FALSE)</f>
        <v>110-250 Vdc / 100-240 Vac</v>
      </c>
      <c r="D8" s="29">
        <v>3</v>
      </c>
      <c r="E8" s="138">
        <v>136.74</v>
      </c>
      <c r="F8" s="138">
        <f>2*E8</f>
        <v>273.48</v>
      </c>
      <c r="G8" s="35" t="s">
        <v>47</v>
      </c>
      <c r="I8" s="20" t="str">
        <f>HLOOKUP(language!$C$3,language!$E$1:$Z504,46,FALSE)</f>
        <v>48 Vdc</v>
      </c>
      <c r="J8" s="29">
        <v>1</v>
      </c>
      <c r="K8" s="138"/>
      <c r="L8" s="138"/>
      <c r="M8" s="35" t="s">
        <v>47</v>
      </c>
      <c r="O8" s="20" t="str">
        <f>HLOOKUP(language!$C$3,language!$E$1:$Z504,54,FALSE)</f>
        <v>24-48 Vdc</v>
      </c>
      <c r="P8" s="29">
        <v>1</v>
      </c>
      <c r="Q8" s="138"/>
      <c r="R8" s="138"/>
      <c r="S8" s="35" t="s">
        <v>47</v>
      </c>
    </row>
    <row r="9" spans="1:19" ht="11.25">
      <c r="A9" s="36"/>
      <c r="B9" s="18"/>
      <c r="C9" s="21"/>
      <c r="D9" s="30"/>
      <c r="E9" s="139"/>
      <c r="F9" s="139"/>
      <c r="G9" s="17"/>
      <c r="I9" s="21" t="str">
        <f>HLOOKUP(language!$C$3,language!$E$1:$Z469,7,FALSE)</f>
        <v>110-250 Vdc / 100-240 Vac</v>
      </c>
      <c r="J9" s="30">
        <v>3</v>
      </c>
      <c r="K9" s="139"/>
      <c r="L9" s="139"/>
      <c r="M9" s="17"/>
      <c r="O9" s="21" t="str">
        <f>HLOOKUP(language!$C$3,language!$E$1:$Z469,53,FALSE)</f>
        <v>100-250 Vdc / 110-240 Vac</v>
      </c>
      <c r="P9" s="30">
        <v>3</v>
      </c>
      <c r="Q9" s="139"/>
      <c r="R9" s="139"/>
      <c r="S9" s="17"/>
    </row>
    <row r="10" spans="1:19" ht="11.25">
      <c r="A10" s="37"/>
      <c r="B10" s="19"/>
      <c r="C10" s="38"/>
      <c r="D10" s="28"/>
      <c r="E10" s="140"/>
      <c r="F10" s="140"/>
      <c r="G10" s="39"/>
      <c r="I10" s="38"/>
      <c r="J10" s="28"/>
      <c r="K10" s="140"/>
      <c r="L10" s="140"/>
      <c r="M10" s="39"/>
      <c r="O10" s="38"/>
      <c r="P10" s="28"/>
      <c r="Q10" s="140"/>
      <c r="R10" s="140"/>
      <c r="S10" s="39"/>
    </row>
    <row r="11" spans="1:19" ht="11.25">
      <c r="A11" s="36">
        <v>2</v>
      </c>
      <c r="B11" s="18" t="str">
        <f>HLOOKUP(language!$C$3,language!$E$1:$Z469,6,FALSE)</f>
        <v>Power Supply 2</v>
      </c>
      <c r="C11" s="21" t="str">
        <f>HLOOKUP(language!$C$3,language!$E$1:$Z471,7,FALSE)</f>
        <v>110-250 Vdc / 100-240 Vac</v>
      </c>
      <c r="D11" s="30">
        <v>3</v>
      </c>
      <c r="E11" s="139">
        <v>136.74</v>
      </c>
      <c r="F11" s="139">
        <f>2*E11</f>
        <v>273.48</v>
      </c>
      <c r="G11" s="17" t="s">
        <v>47</v>
      </c>
      <c r="I11" s="21" t="str">
        <f>HLOOKUP(language!$C$3,language!$E$1:$Z507,46,FALSE)</f>
        <v>48 Vdc</v>
      </c>
      <c r="J11" s="30">
        <v>1</v>
      </c>
      <c r="K11" s="139"/>
      <c r="L11" s="139"/>
      <c r="M11" s="17" t="s">
        <v>47</v>
      </c>
      <c r="O11" s="21" t="str">
        <f>HLOOKUP(language!$C$3,language!$E$1:$Z507,54,FALSE)</f>
        <v>24-48 Vdc</v>
      </c>
      <c r="P11" s="30">
        <v>1</v>
      </c>
      <c r="Q11" s="139"/>
      <c r="R11" s="139"/>
      <c r="S11" s="17" t="s">
        <v>47</v>
      </c>
    </row>
    <row r="12" spans="1:19" ht="11.25">
      <c r="A12" s="36"/>
      <c r="B12" s="18"/>
      <c r="C12" s="21"/>
      <c r="D12" s="30"/>
      <c r="E12" s="139"/>
      <c r="F12" s="139"/>
      <c r="G12" s="17"/>
      <c r="I12" s="21" t="str">
        <f>HLOOKUP(language!$C$3,language!$E$1:$Z472,7,FALSE)</f>
        <v>110-250 Vdc / 100-240 Vac</v>
      </c>
      <c r="J12" s="30">
        <v>3</v>
      </c>
      <c r="K12" s="139"/>
      <c r="L12" s="139"/>
      <c r="M12" s="17"/>
      <c r="O12" s="21" t="str">
        <f>HLOOKUP(language!$C$3,language!$E$1:$Z472,53,FALSE)</f>
        <v>100-250 Vdc / 110-240 Vac</v>
      </c>
      <c r="P12" s="30">
        <v>3</v>
      </c>
      <c r="Q12" s="139"/>
      <c r="R12" s="139"/>
      <c r="S12" s="17"/>
    </row>
    <row r="13" spans="1:19" ht="11.25">
      <c r="A13" s="36"/>
      <c r="B13" s="18"/>
      <c r="C13" s="21" t="str">
        <f>HLOOKUP(language!$C$3,language!$E$1:$Z472,8,FALSE)</f>
        <v>Not installed</v>
      </c>
      <c r="D13" s="30" t="s">
        <v>34</v>
      </c>
      <c r="E13" s="139">
        <v>0</v>
      </c>
      <c r="F13" s="139">
        <f>2*E13</f>
        <v>0</v>
      </c>
      <c r="G13" s="17" t="s">
        <v>47</v>
      </c>
      <c r="I13" s="21" t="str">
        <f>HLOOKUP(language!$C$3,language!$E$1:$Z472,8,FALSE)</f>
        <v>Not installed</v>
      </c>
      <c r="J13" s="30" t="s">
        <v>34</v>
      </c>
      <c r="K13" s="139"/>
      <c r="L13" s="139"/>
      <c r="M13" s="17" t="s">
        <v>47</v>
      </c>
      <c r="O13" s="21" t="str">
        <f>HLOOKUP(language!$C$3,language!$E$1:$Z472,8,FALSE)</f>
        <v>Not installed</v>
      </c>
      <c r="P13" s="30" t="s">
        <v>34</v>
      </c>
      <c r="Q13" s="139"/>
      <c r="R13" s="139"/>
      <c r="S13" s="17" t="s">
        <v>47</v>
      </c>
    </row>
    <row r="14" spans="1:19" ht="11.25">
      <c r="A14" s="37"/>
      <c r="B14" s="19"/>
      <c r="C14" s="40"/>
      <c r="D14" s="28"/>
      <c r="E14" s="140"/>
      <c r="F14" s="140"/>
      <c r="G14" s="39"/>
      <c r="I14" s="40"/>
      <c r="J14" s="28"/>
      <c r="K14" s="140"/>
      <c r="L14" s="140"/>
      <c r="M14" s="39"/>
      <c r="O14" s="40"/>
      <c r="P14" s="28"/>
      <c r="Q14" s="140"/>
      <c r="R14" s="140"/>
      <c r="S14" s="39"/>
    </row>
    <row r="15" spans="1:19" ht="11.25">
      <c r="A15" s="34">
        <v>3</v>
      </c>
      <c r="B15" s="16" t="str">
        <f>HLOOKUP(language!$C$3,language!$E$1:$Z479,9,FALSE)</f>
        <v>Mounting Options 1</v>
      </c>
      <c r="C15" s="20" t="str">
        <f>HLOOKUP(language!$C$3,language!$E$1:$Z481,11,FALSE)</f>
        <v>Ethernet ports on the front</v>
      </c>
      <c r="D15" s="29" t="s">
        <v>49</v>
      </c>
      <c r="E15" s="138">
        <f>2*prices!B13</f>
        <v>0</v>
      </c>
      <c r="F15" s="139">
        <v>40</v>
      </c>
      <c r="G15" s="35" t="s">
        <v>47</v>
      </c>
      <c r="I15" s="20" t="str">
        <f>HLOOKUP(language!$C$3,language!$E$1:$Z481,11,FALSE)</f>
        <v>Ethernet ports on the front</v>
      </c>
      <c r="J15" s="29" t="s">
        <v>49</v>
      </c>
      <c r="K15" s="138"/>
      <c r="L15" s="139"/>
      <c r="M15" s="35" t="s">
        <v>47</v>
      </c>
      <c r="O15" s="20" t="str">
        <f>HLOOKUP(language!$C$3,language!$E$1:$Z481,11,FALSE)</f>
        <v>Ethernet ports on the front</v>
      </c>
      <c r="P15" s="29" t="s">
        <v>49</v>
      </c>
      <c r="Q15" s="138"/>
      <c r="R15" s="139"/>
      <c r="S15" s="35" t="s">
        <v>47</v>
      </c>
    </row>
    <row r="16" spans="1:19" ht="11.25">
      <c r="A16" s="36"/>
      <c r="B16" s="18"/>
      <c r="C16" s="21" t="str">
        <f>HLOOKUP(language!$C$3,language!$E$1:$Z482,12,FALSE)</f>
        <v>Ethernet ports on the rear</v>
      </c>
      <c r="D16" s="30" t="s">
        <v>78</v>
      </c>
      <c r="E16" s="139">
        <f>2*prices!B14</f>
        <v>0</v>
      </c>
      <c r="F16" s="139">
        <v>160</v>
      </c>
      <c r="G16" s="17" t="s">
        <v>47</v>
      </c>
      <c r="I16" s="21" t="str">
        <f>HLOOKUP(language!$C$3,language!$E$1:$Z482,12,FALSE)</f>
        <v>Ethernet ports on the rear</v>
      </c>
      <c r="J16" s="30" t="s">
        <v>78</v>
      </c>
      <c r="K16" s="139"/>
      <c r="L16" s="139"/>
      <c r="M16" s="17" t="s">
        <v>47</v>
      </c>
      <c r="O16" s="21" t="str">
        <f>HLOOKUP(language!$C$3,language!$E$1:$Z482,12,FALSE)</f>
        <v>Ethernet ports on the rear</v>
      </c>
      <c r="P16" s="30" t="s">
        <v>78</v>
      </c>
      <c r="Q16" s="139"/>
      <c r="R16" s="139"/>
      <c r="S16" s="17" t="s">
        <v>47</v>
      </c>
    </row>
    <row r="17" spans="1:19" ht="11.25">
      <c r="A17" s="37"/>
      <c r="B17" s="41"/>
      <c r="C17" s="38"/>
      <c r="D17" s="28"/>
      <c r="E17" s="140"/>
      <c r="F17" s="140"/>
      <c r="G17" s="39"/>
      <c r="I17" s="38"/>
      <c r="J17" s="28"/>
      <c r="K17" s="140"/>
      <c r="L17" s="140"/>
      <c r="M17" s="39"/>
      <c r="O17" s="38"/>
      <c r="P17" s="28"/>
      <c r="Q17" s="140"/>
      <c r="R17" s="140"/>
      <c r="S17" s="39"/>
    </row>
    <row r="18" spans="1:19" ht="11.25">
      <c r="A18" s="34">
        <v>4</v>
      </c>
      <c r="B18" s="16" t="str">
        <f>HLOOKUP(language!$C$3,language!$E$1:$Z487,10,FALSE)</f>
        <v>Mounting Options 2</v>
      </c>
      <c r="C18" s="20" t="str">
        <f>HLOOKUP(language!$C$3,language!$E$1:$Z489,13,FALSE)</f>
        <v>Rack/Panel mounting</v>
      </c>
      <c r="D18" s="29" t="s">
        <v>79</v>
      </c>
      <c r="E18" s="138">
        <v>179.04</v>
      </c>
      <c r="F18" s="138">
        <f>2*E18</f>
        <v>358.08</v>
      </c>
      <c r="G18" s="35" t="s">
        <v>47</v>
      </c>
      <c r="I18" s="20" t="str">
        <f>HLOOKUP(language!$C$3,language!$E$1:$Z489,13,FALSE)</f>
        <v>Rack/Panel mounting</v>
      </c>
      <c r="J18" s="29" t="s">
        <v>79</v>
      </c>
      <c r="K18" s="138"/>
      <c r="L18" s="138"/>
      <c r="M18" s="35" t="s">
        <v>47</v>
      </c>
      <c r="O18" s="20" t="str">
        <f>HLOOKUP(language!$C$3,language!$E$1:$Z489,13,FALSE)</f>
        <v>Rack/Panel mounting</v>
      </c>
      <c r="P18" s="29" t="s">
        <v>79</v>
      </c>
      <c r="Q18" s="138"/>
      <c r="R18" s="138"/>
      <c r="S18" s="35" t="s">
        <v>47</v>
      </c>
    </row>
    <row r="19" spans="1:19" ht="11.25">
      <c r="A19" s="36"/>
      <c r="B19" s="32"/>
      <c r="C19" s="21" t="str">
        <f>HLOOKUP(language!$C$3,language!$E$1:$Z490,14,FALSE)</f>
        <v>DIN rail mounting</v>
      </c>
      <c r="D19" s="30" t="s">
        <v>36</v>
      </c>
      <c r="E19" s="139">
        <v>0</v>
      </c>
      <c r="F19" s="139">
        <v>0</v>
      </c>
      <c r="G19" s="17" t="s">
        <v>47</v>
      </c>
      <c r="I19" s="21" t="str">
        <f>HLOOKUP(language!$C$3,language!$E$1:$Z490,14,FALSE)</f>
        <v>DIN rail mounting</v>
      </c>
      <c r="J19" s="30" t="s">
        <v>36</v>
      </c>
      <c r="K19" s="139"/>
      <c r="L19" s="139"/>
      <c r="M19" s="17" t="s">
        <v>47</v>
      </c>
      <c r="O19" s="21" t="str">
        <f>HLOOKUP(language!$C$3,language!$E$1:$Z490,14,FALSE)</f>
        <v>DIN rail mounting</v>
      </c>
      <c r="P19" s="30" t="s">
        <v>36</v>
      </c>
      <c r="Q19" s="139"/>
      <c r="R19" s="139"/>
      <c r="S19" s="17" t="s">
        <v>47</v>
      </c>
    </row>
    <row r="20" spans="1:19" ht="11.25">
      <c r="A20" s="36"/>
      <c r="B20" s="32"/>
      <c r="C20" s="21"/>
      <c r="D20" s="30"/>
      <c r="E20" s="139"/>
      <c r="F20" s="139"/>
      <c r="G20" s="17"/>
      <c r="I20" s="21"/>
      <c r="J20" s="30"/>
      <c r="K20" s="139"/>
      <c r="L20" s="139"/>
      <c r="M20" s="17"/>
      <c r="O20" s="21"/>
      <c r="P20" s="30"/>
      <c r="Q20" s="139"/>
      <c r="R20" s="139"/>
      <c r="S20" s="17"/>
    </row>
    <row r="21" spans="1:19" ht="11.25">
      <c r="A21" s="34">
        <v>5</v>
      </c>
      <c r="B21" s="16" t="str">
        <f>HLOOKUP(language!$C$3,language!$E$1:$Z495,15,FALSE)</f>
        <v>Interface Module 1</v>
      </c>
      <c r="C21" s="20" t="str">
        <f>HLOOKUP(language!$C$3,language!$E$1:$Z497,21,FALSE)</f>
        <v>Two 1 Gbps RJ45 copper 100BASE-TX/1000BASE-T Ethernet ports</v>
      </c>
      <c r="D21" s="29" t="s">
        <v>32</v>
      </c>
      <c r="E21" s="138">
        <v>179.04</v>
      </c>
      <c r="F21" s="138">
        <f>2*E21</f>
        <v>358.08</v>
      </c>
      <c r="G21" s="35" t="s">
        <v>47</v>
      </c>
      <c r="I21" s="20" t="s">
        <v>146</v>
      </c>
      <c r="J21" s="29">
        <v>0</v>
      </c>
      <c r="K21" s="138"/>
      <c r="L21" s="138"/>
      <c r="M21" s="35" t="s">
        <v>47</v>
      </c>
      <c r="O21" s="20" t="s">
        <v>146</v>
      </c>
      <c r="P21" s="29">
        <v>0</v>
      </c>
      <c r="Q21" s="138"/>
      <c r="R21" s="138"/>
      <c r="S21" s="35" t="s">
        <v>47</v>
      </c>
    </row>
    <row r="22" spans="1:19" ht="11.25">
      <c r="A22" s="36"/>
      <c r="B22" s="18"/>
      <c r="C22" s="21" t="str">
        <f>HLOOKUP(language!$C$3,language!$E$1:$Z498,22,FALSE)</f>
        <v>Two slots for up to 1 Gbps SFP transceivers</v>
      </c>
      <c r="D22" s="30" t="s">
        <v>33</v>
      </c>
      <c r="E22" s="139">
        <v>179.04</v>
      </c>
      <c r="F22" s="139">
        <f>2*E22</f>
        <v>358.08</v>
      </c>
      <c r="G22" s="17" t="s">
        <v>47</v>
      </c>
      <c r="I22" s="21" t="s">
        <v>140</v>
      </c>
      <c r="J22" s="30" t="s">
        <v>32</v>
      </c>
      <c r="K22" s="139"/>
      <c r="L22" s="139"/>
      <c r="M22" s="17" t="s">
        <v>47</v>
      </c>
      <c r="O22" s="21" t="s">
        <v>140</v>
      </c>
      <c r="P22" s="30" t="s">
        <v>32</v>
      </c>
      <c r="Q22" s="139"/>
      <c r="R22" s="139"/>
      <c r="S22" s="17" t="s">
        <v>47</v>
      </c>
    </row>
    <row r="23" spans="1:19" ht="11.25">
      <c r="A23" s="36"/>
      <c r="B23" s="18"/>
      <c r="C23" s="21" t="str">
        <f>HLOOKUP(language!$C$3,language!$E$1:$Z499,23,FALSE)</f>
        <v>Two 1 Gbps LC-type connector multi mode fiber 1000BASE-SX Ethernet for up to 0.5 km</v>
      </c>
      <c r="D23" s="30" t="s">
        <v>35</v>
      </c>
      <c r="E23" s="139">
        <v>180.04</v>
      </c>
      <c r="F23" s="139">
        <f aca="true" t="shared" si="0" ref="F23:F29">2*E23</f>
        <v>360.08</v>
      </c>
      <c r="G23" s="17" t="s">
        <v>47</v>
      </c>
      <c r="I23" s="21" t="s">
        <v>141</v>
      </c>
      <c r="J23" s="30" t="s">
        <v>33</v>
      </c>
      <c r="K23" s="139"/>
      <c r="L23" s="139"/>
      <c r="M23" s="17" t="s">
        <v>47</v>
      </c>
      <c r="O23" s="21" t="s">
        <v>141</v>
      </c>
      <c r="P23" s="30" t="s">
        <v>33</v>
      </c>
      <c r="Q23" s="139"/>
      <c r="R23" s="139"/>
      <c r="S23" s="17" t="s">
        <v>47</v>
      </c>
    </row>
    <row r="24" spans="1:19" ht="11.25">
      <c r="A24" s="36"/>
      <c r="B24" s="18"/>
      <c r="C24" s="21" t="str">
        <f>HLOOKUP(language!$C$3,language!$E$1:$Z500,24,FALSE)</f>
        <v>Two 1 Gbps LC-type connector single mode fiber 1000BASE-LX Ethernet for up to 10 km</v>
      </c>
      <c r="D24" s="30" t="s">
        <v>36</v>
      </c>
      <c r="E24" s="139">
        <v>181.04</v>
      </c>
      <c r="F24" s="139">
        <f t="shared" si="0"/>
        <v>362.08</v>
      </c>
      <c r="G24" s="17" t="s">
        <v>47</v>
      </c>
      <c r="I24" s="21" t="s">
        <v>142</v>
      </c>
      <c r="J24" s="30" t="s">
        <v>35</v>
      </c>
      <c r="K24" s="139"/>
      <c r="L24" s="139"/>
      <c r="M24" s="17" t="s">
        <v>47</v>
      </c>
      <c r="O24" s="21" t="s">
        <v>142</v>
      </c>
      <c r="P24" s="30" t="s">
        <v>35</v>
      </c>
      <c r="Q24" s="139"/>
      <c r="R24" s="139"/>
      <c r="S24" s="17" t="s">
        <v>47</v>
      </c>
    </row>
    <row r="25" spans="1:19" ht="11.25">
      <c r="A25" s="36"/>
      <c r="B25" s="18"/>
      <c r="C25" s="21" t="str">
        <f>HLOOKUP(language!$C$3,language!$E$1:$Z501,25,FALSE)</f>
        <v>Two 1 Gbps LC-type connector single mode fiber 1000BASE-ZX Ethernet for up to 40 km</v>
      </c>
      <c r="D25" s="30" t="s">
        <v>48</v>
      </c>
      <c r="E25" s="139">
        <v>182.04</v>
      </c>
      <c r="F25" s="139">
        <f t="shared" si="0"/>
        <v>364.08</v>
      </c>
      <c r="G25" s="17" t="s">
        <v>47</v>
      </c>
      <c r="I25" s="21" t="s">
        <v>143</v>
      </c>
      <c r="J25" s="30" t="s">
        <v>36</v>
      </c>
      <c r="K25" s="139"/>
      <c r="L25" s="139"/>
      <c r="M25" s="17" t="s">
        <v>47</v>
      </c>
      <c r="O25" s="21" t="s">
        <v>143</v>
      </c>
      <c r="P25" s="30" t="s">
        <v>36</v>
      </c>
      <c r="Q25" s="139"/>
      <c r="R25" s="139"/>
      <c r="S25" s="17" t="s">
        <v>47</v>
      </c>
    </row>
    <row r="26" spans="1:19" ht="11.25">
      <c r="A26" s="36"/>
      <c r="B26" s="18"/>
      <c r="C26" s="21" t="str">
        <f>HLOOKUP(language!$C$3,language!$E$1:$Z502,26,FALSE)</f>
        <v>Two 1 Gbps LC-type connector single mode fiber 1000BASE-ZX Ethernet for up to 80 km</v>
      </c>
      <c r="D26" s="30" t="s">
        <v>49</v>
      </c>
      <c r="E26" s="139">
        <v>183.04</v>
      </c>
      <c r="F26" s="139">
        <f t="shared" si="0"/>
        <v>366.08</v>
      </c>
      <c r="G26" s="17" t="s">
        <v>47</v>
      </c>
      <c r="I26" s="21" t="s">
        <v>144</v>
      </c>
      <c r="J26" s="30" t="s">
        <v>48</v>
      </c>
      <c r="K26" s="139"/>
      <c r="L26" s="139"/>
      <c r="M26" s="17" t="s">
        <v>47</v>
      </c>
      <c r="O26" s="21" t="s">
        <v>144</v>
      </c>
      <c r="P26" s="30" t="s">
        <v>48</v>
      </c>
      <c r="Q26" s="139"/>
      <c r="R26" s="139"/>
      <c r="S26" s="17" t="s">
        <v>47</v>
      </c>
    </row>
    <row r="27" spans="1:19" ht="11.25">
      <c r="A27" s="36"/>
      <c r="B27" s="18"/>
      <c r="C27" s="21" t="str">
        <f>HLOOKUP(language!$C$3,language!$E$1:$Z503,27,FALSE)</f>
        <v>Two 100 Mbps ST-type connector multi mode fiber 100BASE-FX Ethernet for up to 2 km</v>
      </c>
      <c r="D27" s="30" t="s">
        <v>50</v>
      </c>
      <c r="E27" s="139">
        <v>184.04</v>
      </c>
      <c r="F27" s="139">
        <f t="shared" si="0"/>
        <v>368.08</v>
      </c>
      <c r="G27" s="17" t="s">
        <v>47</v>
      </c>
      <c r="I27" s="21" t="s">
        <v>145</v>
      </c>
      <c r="J27" s="30" t="s">
        <v>49</v>
      </c>
      <c r="K27" s="139"/>
      <c r="L27" s="139"/>
      <c r="M27" s="17" t="s">
        <v>47</v>
      </c>
      <c r="O27" s="21" t="s">
        <v>145</v>
      </c>
      <c r="P27" s="30" t="s">
        <v>49</v>
      </c>
      <c r="Q27" s="139"/>
      <c r="R27" s="139"/>
      <c r="S27" s="17" t="s">
        <v>47</v>
      </c>
    </row>
    <row r="28" spans="1:19" ht="11.25">
      <c r="A28" s="36"/>
      <c r="B28" s="18"/>
      <c r="C28" s="21" t="str">
        <f>HLOOKUP(language!$C$3,language!$E$1:$Z504,28,FALSE)</f>
        <v>Two 100 Mbps LC-type connector multi mode fiber 100BASE-FX Ethernet for up to 2 km</v>
      </c>
      <c r="D28" s="30" t="s">
        <v>51</v>
      </c>
      <c r="E28" s="139">
        <v>185.04</v>
      </c>
      <c r="F28" s="139">
        <f t="shared" si="0"/>
        <v>370.08</v>
      </c>
      <c r="G28" s="17" t="s">
        <v>47</v>
      </c>
      <c r="I28" s="193" t="s">
        <v>160</v>
      </c>
      <c r="J28" s="30" t="s">
        <v>49</v>
      </c>
      <c r="K28" s="139"/>
      <c r="L28" s="139"/>
      <c r="M28" s="17" t="s">
        <v>47</v>
      </c>
      <c r="O28" s="193" t="s">
        <v>160</v>
      </c>
      <c r="P28" s="30" t="s">
        <v>49</v>
      </c>
      <c r="Q28" s="139"/>
      <c r="R28" s="139"/>
      <c r="S28" s="17" t="s">
        <v>47</v>
      </c>
    </row>
    <row r="29" spans="1:19" ht="11.25">
      <c r="A29" s="36"/>
      <c r="B29" s="18"/>
      <c r="C29" s="21" t="str">
        <f>HLOOKUP(language!$C$3,language!$E$1:$Z488,8,FALSE)</f>
        <v>Not installed</v>
      </c>
      <c r="D29" s="30" t="s">
        <v>34</v>
      </c>
      <c r="E29" s="139">
        <v>0</v>
      </c>
      <c r="F29" s="139">
        <f t="shared" si="0"/>
        <v>0</v>
      </c>
      <c r="G29" s="17" t="s">
        <v>47</v>
      </c>
      <c r="I29" s="193" t="s">
        <v>160</v>
      </c>
      <c r="J29" s="30" t="s">
        <v>49</v>
      </c>
      <c r="K29" s="139"/>
      <c r="L29" s="139"/>
      <c r="M29" s="17" t="s">
        <v>47</v>
      </c>
      <c r="O29" s="193" t="s">
        <v>160</v>
      </c>
      <c r="P29" s="30" t="s">
        <v>49</v>
      </c>
      <c r="Q29" s="139"/>
      <c r="R29" s="139"/>
      <c r="S29" s="17" t="s">
        <v>47</v>
      </c>
    </row>
    <row r="30" spans="1:19" ht="11.25">
      <c r="A30" s="37"/>
      <c r="B30" s="41"/>
      <c r="C30" s="38"/>
      <c r="D30" s="28"/>
      <c r="E30" s="140"/>
      <c r="F30" s="140"/>
      <c r="G30" s="39"/>
      <c r="I30" s="38"/>
      <c r="J30" s="28"/>
      <c r="K30" s="140"/>
      <c r="L30" s="140"/>
      <c r="M30" s="39"/>
      <c r="O30" s="38"/>
      <c r="P30" s="28"/>
      <c r="Q30" s="140"/>
      <c r="R30" s="140"/>
      <c r="S30" s="39"/>
    </row>
    <row r="31" spans="1:19" ht="11.25">
      <c r="A31" s="34">
        <v>6</v>
      </c>
      <c r="B31" s="16" t="str">
        <f>HLOOKUP(language!$C$3,language!$E$1:$Z505,16,FALSE)</f>
        <v>Interface Module 2</v>
      </c>
      <c r="C31" s="20" t="str">
        <f>HLOOKUP(language!$C$3,language!$E$1:$Z507,21,FALSE)</f>
        <v>Two 1 Gbps RJ45 copper 100BASE-TX/1000BASE-T Ethernet ports</v>
      </c>
      <c r="D31" s="29" t="s">
        <v>32</v>
      </c>
      <c r="E31" s="138">
        <v>179.04</v>
      </c>
      <c r="F31" s="138">
        <f>2*E31</f>
        <v>358.08</v>
      </c>
      <c r="G31" s="35" t="s">
        <v>47</v>
      </c>
      <c r="I31" s="20" t="s">
        <v>146</v>
      </c>
      <c r="J31" s="29">
        <v>0</v>
      </c>
      <c r="K31" s="138"/>
      <c r="L31" s="138"/>
      <c r="M31" s="35" t="s">
        <v>47</v>
      </c>
      <c r="O31" s="20" t="s">
        <v>146</v>
      </c>
      <c r="P31" s="29">
        <v>0</v>
      </c>
      <c r="Q31" s="138"/>
      <c r="R31" s="138"/>
      <c r="S31" s="35" t="s">
        <v>47</v>
      </c>
    </row>
    <row r="32" spans="1:19" ht="11.25">
      <c r="A32" s="36"/>
      <c r="B32" s="18"/>
      <c r="C32" s="21" t="str">
        <f>HLOOKUP(language!$C$3,language!$E$1:$Z508,22,FALSE)</f>
        <v>Two slots for up to 1 Gbps SFP transceivers</v>
      </c>
      <c r="D32" s="30" t="s">
        <v>33</v>
      </c>
      <c r="E32" s="139">
        <v>179.04</v>
      </c>
      <c r="F32" s="139">
        <f>2*E32</f>
        <v>358.08</v>
      </c>
      <c r="G32" s="17" t="s">
        <v>47</v>
      </c>
      <c r="I32" s="21" t="s">
        <v>140</v>
      </c>
      <c r="J32" s="30" t="s">
        <v>32</v>
      </c>
      <c r="K32" s="139"/>
      <c r="L32" s="139"/>
      <c r="M32" s="17" t="s">
        <v>47</v>
      </c>
      <c r="O32" s="21" t="s">
        <v>140</v>
      </c>
      <c r="P32" s="30" t="s">
        <v>32</v>
      </c>
      <c r="Q32" s="139"/>
      <c r="R32" s="139"/>
      <c r="S32" s="17" t="s">
        <v>47</v>
      </c>
    </row>
    <row r="33" spans="1:19" ht="11.25">
      <c r="A33" s="36"/>
      <c r="B33" s="18"/>
      <c r="C33" s="21" t="str">
        <f>HLOOKUP(language!$C$3,language!$E$1:$Z509,23,FALSE)</f>
        <v>Two 1 Gbps LC-type connector multi mode fiber 1000BASE-SX Ethernet for up to 0.5 km</v>
      </c>
      <c r="D33" s="30" t="s">
        <v>35</v>
      </c>
      <c r="E33" s="139">
        <v>180.04</v>
      </c>
      <c r="F33" s="139">
        <f aca="true" t="shared" si="1" ref="F33:F39">2*E33</f>
        <v>360.08</v>
      </c>
      <c r="G33" s="17" t="s">
        <v>47</v>
      </c>
      <c r="I33" s="21" t="s">
        <v>141</v>
      </c>
      <c r="J33" s="30" t="s">
        <v>33</v>
      </c>
      <c r="K33" s="139"/>
      <c r="L33" s="139"/>
      <c r="M33" s="17" t="s">
        <v>47</v>
      </c>
      <c r="O33" s="21" t="s">
        <v>141</v>
      </c>
      <c r="P33" s="30" t="s">
        <v>33</v>
      </c>
      <c r="Q33" s="139"/>
      <c r="R33" s="139"/>
      <c r="S33" s="17" t="s">
        <v>47</v>
      </c>
    </row>
    <row r="34" spans="1:19" ht="11.25">
      <c r="A34" s="36"/>
      <c r="B34" s="18"/>
      <c r="C34" s="21" t="str">
        <f>HLOOKUP(language!$C$3,language!$E$1:$Z510,24,FALSE)</f>
        <v>Two 1 Gbps LC-type connector single mode fiber 1000BASE-LX Ethernet for up to 10 km</v>
      </c>
      <c r="D34" s="30" t="s">
        <v>36</v>
      </c>
      <c r="E34" s="139">
        <v>181.04</v>
      </c>
      <c r="F34" s="139">
        <f t="shared" si="1"/>
        <v>362.08</v>
      </c>
      <c r="G34" s="17" t="s">
        <v>47</v>
      </c>
      <c r="I34" s="21" t="s">
        <v>142</v>
      </c>
      <c r="J34" s="30" t="s">
        <v>35</v>
      </c>
      <c r="K34" s="139"/>
      <c r="L34" s="139"/>
      <c r="M34" s="17" t="s">
        <v>47</v>
      </c>
      <c r="O34" s="21" t="s">
        <v>142</v>
      </c>
      <c r="P34" s="30" t="s">
        <v>35</v>
      </c>
      <c r="Q34" s="139"/>
      <c r="R34" s="139"/>
      <c r="S34" s="17" t="s">
        <v>47</v>
      </c>
    </row>
    <row r="35" spans="1:19" ht="11.25">
      <c r="A35" s="36"/>
      <c r="B35" s="18"/>
      <c r="C35" s="21" t="str">
        <f>HLOOKUP(language!$C$3,language!$E$1:$Z511,25,FALSE)</f>
        <v>Two 1 Gbps LC-type connector single mode fiber 1000BASE-ZX Ethernet for up to 40 km</v>
      </c>
      <c r="D35" s="30" t="s">
        <v>48</v>
      </c>
      <c r="E35" s="139">
        <v>182.04</v>
      </c>
      <c r="F35" s="139">
        <f t="shared" si="1"/>
        <v>364.08</v>
      </c>
      <c r="G35" s="17" t="s">
        <v>47</v>
      </c>
      <c r="I35" s="21" t="s">
        <v>143</v>
      </c>
      <c r="J35" s="30" t="s">
        <v>36</v>
      </c>
      <c r="K35" s="139"/>
      <c r="L35" s="139"/>
      <c r="M35" s="17" t="s">
        <v>47</v>
      </c>
      <c r="O35" s="21" t="s">
        <v>143</v>
      </c>
      <c r="P35" s="30" t="s">
        <v>36</v>
      </c>
      <c r="Q35" s="139"/>
      <c r="R35" s="139"/>
      <c r="S35" s="17" t="s">
        <v>47</v>
      </c>
    </row>
    <row r="36" spans="1:19" ht="11.25">
      <c r="A36" s="36"/>
      <c r="B36" s="18"/>
      <c r="C36" s="21" t="str">
        <f>HLOOKUP(language!$C$3,language!$E$1:$Z512,26,FALSE)</f>
        <v>Two 1 Gbps LC-type connector single mode fiber 1000BASE-ZX Ethernet for up to 80 km</v>
      </c>
      <c r="D36" s="30" t="s">
        <v>49</v>
      </c>
      <c r="E36" s="139">
        <v>183.04</v>
      </c>
      <c r="F36" s="139">
        <f t="shared" si="1"/>
        <v>366.08</v>
      </c>
      <c r="G36" s="17" t="s">
        <v>47</v>
      </c>
      <c r="I36" s="21" t="s">
        <v>144</v>
      </c>
      <c r="J36" s="30" t="s">
        <v>48</v>
      </c>
      <c r="K36" s="139"/>
      <c r="L36" s="139"/>
      <c r="M36" s="17" t="s">
        <v>47</v>
      </c>
      <c r="O36" s="21" t="s">
        <v>144</v>
      </c>
      <c r="P36" s="30" t="s">
        <v>48</v>
      </c>
      <c r="Q36" s="139"/>
      <c r="R36" s="139"/>
      <c r="S36" s="17" t="s">
        <v>47</v>
      </c>
    </row>
    <row r="37" spans="1:19" ht="11.25">
      <c r="A37" s="36"/>
      <c r="B37" s="18"/>
      <c r="C37" s="21" t="str">
        <f>HLOOKUP(language!$C$3,language!$E$1:$Z513,27,FALSE)</f>
        <v>Two 100 Mbps ST-type connector multi mode fiber 100BASE-FX Ethernet for up to 2 km</v>
      </c>
      <c r="D37" s="30" t="s">
        <v>50</v>
      </c>
      <c r="E37" s="139">
        <v>184.04</v>
      </c>
      <c r="F37" s="139">
        <f t="shared" si="1"/>
        <v>368.08</v>
      </c>
      <c r="G37" s="17" t="s">
        <v>47</v>
      </c>
      <c r="I37" s="21" t="s">
        <v>145</v>
      </c>
      <c r="J37" s="30" t="s">
        <v>49</v>
      </c>
      <c r="K37" s="139"/>
      <c r="L37" s="139"/>
      <c r="M37" s="17" t="s">
        <v>47</v>
      </c>
      <c r="O37" s="21" t="s">
        <v>145</v>
      </c>
      <c r="P37" s="30" t="s">
        <v>49</v>
      </c>
      <c r="Q37" s="139"/>
      <c r="R37" s="139"/>
      <c r="S37" s="17" t="s">
        <v>47</v>
      </c>
    </row>
    <row r="38" spans="1:19" ht="11.25">
      <c r="A38" s="36"/>
      <c r="B38" s="18"/>
      <c r="C38" s="21" t="str">
        <f>HLOOKUP(language!$C$3,language!$E$1:$Z514,28,FALSE)</f>
        <v>Two 100 Mbps LC-type connector multi mode fiber 100BASE-FX Ethernet for up to 2 km</v>
      </c>
      <c r="D38" s="30" t="s">
        <v>51</v>
      </c>
      <c r="E38" s="139">
        <v>185.04</v>
      </c>
      <c r="F38" s="139">
        <f t="shared" si="1"/>
        <v>370.08</v>
      </c>
      <c r="G38" s="17" t="s">
        <v>47</v>
      </c>
      <c r="I38" s="193" t="s">
        <v>160</v>
      </c>
      <c r="J38" s="30" t="s">
        <v>49</v>
      </c>
      <c r="K38" s="139"/>
      <c r="L38" s="139"/>
      <c r="M38" s="17" t="s">
        <v>47</v>
      </c>
      <c r="O38" s="193" t="s">
        <v>160</v>
      </c>
      <c r="P38" s="30" t="s">
        <v>49</v>
      </c>
      <c r="Q38" s="139"/>
      <c r="R38" s="139"/>
      <c r="S38" s="17" t="s">
        <v>47</v>
      </c>
    </row>
    <row r="39" spans="1:19" ht="11.25">
      <c r="A39" s="36"/>
      <c r="B39" s="18"/>
      <c r="C39" s="21" t="str">
        <f>HLOOKUP(language!$C$3,language!$E$1:$Z498,8,FALSE)</f>
        <v>Not installed</v>
      </c>
      <c r="D39" s="30" t="s">
        <v>34</v>
      </c>
      <c r="E39" s="139">
        <v>0</v>
      </c>
      <c r="F39" s="139">
        <f t="shared" si="1"/>
        <v>0</v>
      </c>
      <c r="G39" s="17" t="s">
        <v>47</v>
      </c>
      <c r="I39" s="193" t="s">
        <v>160</v>
      </c>
      <c r="J39" s="30" t="s">
        <v>49</v>
      </c>
      <c r="K39" s="139"/>
      <c r="L39" s="139"/>
      <c r="M39" s="17" t="s">
        <v>47</v>
      </c>
      <c r="O39" s="193" t="s">
        <v>160</v>
      </c>
      <c r="P39" s="30" t="s">
        <v>49</v>
      </c>
      <c r="Q39" s="139"/>
      <c r="R39" s="139"/>
      <c r="S39" s="17" t="s">
        <v>47</v>
      </c>
    </row>
    <row r="40" spans="1:19" ht="11.25">
      <c r="A40" s="37"/>
      <c r="B40" s="41"/>
      <c r="C40" s="38"/>
      <c r="D40" s="28"/>
      <c r="E40" s="140"/>
      <c r="F40" s="140"/>
      <c r="G40" s="39"/>
      <c r="I40" s="38"/>
      <c r="J40" s="28"/>
      <c r="K40" s="140"/>
      <c r="L40" s="140"/>
      <c r="M40" s="39"/>
      <c r="O40" s="38"/>
      <c r="P40" s="28"/>
      <c r="Q40" s="140"/>
      <c r="R40" s="140"/>
      <c r="S40" s="39"/>
    </row>
    <row r="41" spans="1:19" ht="11.25">
      <c r="A41" s="34">
        <v>7</v>
      </c>
      <c r="B41" s="16" t="str">
        <f>HLOOKUP(language!$C$3,language!$E$1:$Z515,17,FALSE)</f>
        <v>Interface Module 3</v>
      </c>
      <c r="C41" s="20" t="str">
        <f>HLOOKUP(language!$C$3,language!$E$1:$Z517,21,FALSE)</f>
        <v>Two 1 Gbps RJ45 copper 100BASE-TX/1000BASE-T Ethernet ports</v>
      </c>
      <c r="D41" s="29" t="s">
        <v>32</v>
      </c>
      <c r="E41" s="138">
        <v>179.04</v>
      </c>
      <c r="F41" s="138">
        <f>2*E41</f>
        <v>358.08</v>
      </c>
      <c r="G41" s="35" t="s">
        <v>47</v>
      </c>
      <c r="I41" s="20" t="s">
        <v>146</v>
      </c>
      <c r="J41" s="29">
        <v>0</v>
      </c>
      <c r="K41" s="138"/>
      <c r="L41" s="138"/>
      <c r="M41" s="35" t="s">
        <v>47</v>
      </c>
      <c r="O41" s="20" t="s">
        <v>146</v>
      </c>
      <c r="P41" s="29">
        <v>0</v>
      </c>
      <c r="Q41" s="138"/>
      <c r="R41" s="138"/>
      <c r="S41" s="35" t="s">
        <v>47</v>
      </c>
    </row>
    <row r="42" spans="1:19" ht="11.25">
      <c r="A42" s="36"/>
      <c r="B42" s="18"/>
      <c r="C42" s="21" t="str">
        <f>HLOOKUP(language!$C$3,language!$E$1:$Z518,22,FALSE)</f>
        <v>Two slots for up to 1 Gbps SFP transceivers</v>
      </c>
      <c r="D42" s="30" t="s">
        <v>33</v>
      </c>
      <c r="E42" s="139">
        <v>179.04</v>
      </c>
      <c r="F42" s="139">
        <f>2*E42</f>
        <v>358.08</v>
      </c>
      <c r="G42" s="17" t="s">
        <v>47</v>
      </c>
      <c r="I42" s="21" t="s">
        <v>140</v>
      </c>
      <c r="J42" s="30" t="s">
        <v>32</v>
      </c>
      <c r="K42" s="139"/>
      <c r="L42" s="139"/>
      <c r="M42" s="17" t="s">
        <v>47</v>
      </c>
      <c r="O42" s="21" t="s">
        <v>140</v>
      </c>
      <c r="P42" s="30" t="s">
        <v>32</v>
      </c>
      <c r="Q42" s="139"/>
      <c r="R42" s="139"/>
      <c r="S42" s="17" t="s">
        <v>47</v>
      </c>
    </row>
    <row r="43" spans="1:19" ht="11.25">
      <c r="A43" s="36"/>
      <c r="B43" s="18"/>
      <c r="C43" s="21" t="str">
        <f>HLOOKUP(language!$C$3,language!$E$1:$Z519,23,FALSE)</f>
        <v>Two 1 Gbps LC-type connector multi mode fiber 1000BASE-SX Ethernet for up to 0.5 km</v>
      </c>
      <c r="D43" s="30" t="s">
        <v>35</v>
      </c>
      <c r="E43" s="139">
        <v>180.04</v>
      </c>
      <c r="F43" s="139">
        <f aca="true" t="shared" si="2" ref="F43:F49">2*E43</f>
        <v>360.08</v>
      </c>
      <c r="G43" s="17" t="s">
        <v>47</v>
      </c>
      <c r="I43" s="21" t="s">
        <v>141</v>
      </c>
      <c r="J43" s="30" t="s">
        <v>33</v>
      </c>
      <c r="K43" s="139"/>
      <c r="L43" s="139"/>
      <c r="M43" s="17" t="s">
        <v>47</v>
      </c>
      <c r="O43" s="21" t="s">
        <v>141</v>
      </c>
      <c r="P43" s="30" t="s">
        <v>33</v>
      </c>
      <c r="Q43" s="139"/>
      <c r="R43" s="139"/>
      <c r="S43" s="17" t="s">
        <v>47</v>
      </c>
    </row>
    <row r="44" spans="1:19" ht="11.25">
      <c r="A44" s="36"/>
      <c r="B44" s="18"/>
      <c r="C44" s="21" t="str">
        <f>HLOOKUP(language!$C$3,language!$E$1:$Z520,24,FALSE)</f>
        <v>Two 1 Gbps LC-type connector single mode fiber 1000BASE-LX Ethernet for up to 10 km</v>
      </c>
      <c r="D44" s="30" t="s">
        <v>36</v>
      </c>
      <c r="E44" s="139">
        <v>181.04</v>
      </c>
      <c r="F44" s="139">
        <f t="shared" si="2"/>
        <v>362.08</v>
      </c>
      <c r="G44" s="17" t="s">
        <v>47</v>
      </c>
      <c r="I44" s="21" t="s">
        <v>142</v>
      </c>
      <c r="J44" s="30" t="s">
        <v>35</v>
      </c>
      <c r="K44" s="139"/>
      <c r="L44" s="139"/>
      <c r="M44" s="17" t="s">
        <v>47</v>
      </c>
      <c r="O44" s="21" t="s">
        <v>142</v>
      </c>
      <c r="P44" s="30" t="s">
        <v>35</v>
      </c>
      <c r="Q44" s="139"/>
      <c r="R44" s="139"/>
      <c r="S44" s="17" t="s">
        <v>47</v>
      </c>
    </row>
    <row r="45" spans="1:19" ht="11.25">
      <c r="A45" s="36"/>
      <c r="B45" s="18"/>
      <c r="C45" s="21" t="str">
        <f>HLOOKUP(language!$C$3,language!$E$1:$Z521,25,FALSE)</f>
        <v>Two 1 Gbps LC-type connector single mode fiber 1000BASE-ZX Ethernet for up to 40 km</v>
      </c>
      <c r="D45" s="30" t="s">
        <v>48</v>
      </c>
      <c r="E45" s="139">
        <v>182.04</v>
      </c>
      <c r="F45" s="139">
        <f t="shared" si="2"/>
        <v>364.08</v>
      </c>
      <c r="G45" s="17" t="s">
        <v>47</v>
      </c>
      <c r="I45" s="21" t="s">
        <v>143</v>
      </c>
      <c r="J45" s="30" t="s">
        <v>36</v>
      </c>
      <c r="K45" s="139"/>
      <c r="L45" s="139"/>
      <c r="M45" s="17" t="s">
        <v>47</v>
      </c>
      <c r="O45" s="21" t="s">
        <v>143</v>
      </c>
      <c r="P45" s="30" t="s">
        <v>36</v>
      </c>
      <c r="Q45" s="139"/>
      <c r="R45" s="139"/>
      <c r="S45" s="17" t="s">
        <v>47</v>
      </c>
    </row>
    <row r="46" spans="1:19" ht="11.25">
      <c r="A46" s="36"/>
      <c r="B46" s="18"/>
      <c r="C46" s="21" t="str">
        <f>HLOOKUP(language!$C$3,language!$E$1:$Z522,26,FALSE)</f>
        <v>Two 1 Gbps LC-type connector single mode fiber 1000BASE-ZX Ethernet for up to 80 km</v>
      </c>
      <c r="D46" s="30" t="s">
        <v>49</v>
      </c>
      <c r="E46" s="139">
        <v>183.04</v>
      </c>
      <c r="F46" s="139">
        <f t="shared" si="2"/>
        <v>366.08</v>
      </c>
      <c r="G46" s="17" t="s">
        <v>47</v>
      </c>
      <c r="I46" s="21" t="s">
        <v>144</v>
      </c>
      <c r="J46" s="30" t="s">
        <v>48</v>
      </c>
      <c r="K46" s="139"/>
      <c r="L46" s="139"/>
      <c r="M46" s="17" t="s">
        <v>47</v>
      </c>
      <c r="O46" s="21" t="s">
        <v>144</v>
      </c>
      <c r="P46" s="30" t="s">
        <v>48</v>
      </c>
      <c r="Q46" s="139"/>
      <c r="R46" s="139"/>
      <c r="S46" s="17" t="s">
        <v>47</v>
      </c>
    </row>
    <row r="47" spans="1:19" ht="11.25">
      <c r="A47" s="36"/>
      <c r="B47" s="18"/>
      <c r="C47" s="21" t="str">
        <f>HLOOKUP(language!$C$3,language!$E$1:$Z523,27,FALSE)</f>
        <v>Two 100 Mbps ST-type connector multi mode fiber 100BASE-FX Ethernet for up to 2 km</v>
      </c>
      <c r="D47" s="30" t="s">
        <v>50</v>
      </c>
      <c r="E47" s="139">
        <v>184.04</v>
      </c>
      <c r="F47" s="139">
        <f t="shared" si="2"/>
        <v>368.08</v>
      </c>
      <c r="G47" s="17" t="s">
        <v>47</v>
      </c>
      <c r="I47" s="21" t="s">
        <v>145</v>
      </c>
      <c r="J47" s="30" t="s">
        <v>49</v>
      </c>
      <c r="K47" s="139"/>
      <c r="L47" s="139"/>
      <c r="M47" s="17" t="s">
        <v>47</v>
      </c>
      <c r="O47" s="21" t="s">
        <v>145</v>
      </c>
      <c r="P47" s="30" t="s">
        <v>49</v>
      </c>
      <c r="Q47" s="139"/>
      <c r="R47" s="139"/>
      <c r="S47" s="17" t="s">
        <v>47</v>
      </c>
    </row>
    <row r="48" spans="1:19" ht="11.25">
      <c r="A48" s="36"/>
      <c r="B48" s="18"/>
      <c r="C48" s="21" t="str">
        <f>HLOOKUP(language!$C$3,language!$E$1:$Z524,28,FALSE)</f>
        <v>Two 100 Mbps LC-type connector multi mode fiber 100BASE-FX Ethernet for up to 2 km</v>
      </c>
      <c r="D48" s="30" t="s">
        <v>51</v>
      </c>
      <c r="E48" s="139">
        <v>185.04</v>
      </c>
      <c r="F48" s="139">
        <f t="shared" si="2"/>
        <v>370.08</v>
      </c>
      <c r="G48" s="17" t="s">
        <v>47</v>
      </c>
      <c r="I48" s="193" t="s">
        <v>160</v>
      </c>
      <c r="J48" s="30" t="s">
        <v>49</v>
      </c>
      <c r="K48" s="139"/>
      <c r="L48" s="139"/>
      <c r="M48" s="17" t="s">
        <v>47</v>
      </c>
      <c r="O48" s="193" t="s">
        <v>160</v>
      </c>
      <c r="P48" s="30" t="s">
        <v>49</v>
      </c>
      <c r="Q48" s="139"/>
      <c r="R48" s="139"/>
      <c r="S48" s="17" t="s">
        <v>47</v>
      </c>
    </row>
    <row r="49" spans="1:19" ht="11.25">
      <c r="A49" s="36"/>
      <c r="B49" s="18"/>
      <c r="C49" s="21" t="str">
        <f>HLOOKUP(language!$C$3,language!$E$1:$Z508,8,FALSE)</f>
        <v>Not installed</v>
      </c>
      <c r="D49" s="30" t="s">
        <v>34</v>
      </c>
      <c r="E49" s="139">
        <v>0</v>
      </c>
      <c r="F49" s="139">
        <f t="shared" si="2"/>
        <v>0</v>
      </c>
      <c r="G49" s="17" t="s">
        <v>47</v>
      </c>
      <c r="I49" s="193" t="s">
        <v>160</v>
      </c>
      <c r="J49" s="30" t="s">
        <v>49</v>
      </c>
      <c r="K49" s="139"/>
      <c r="L49" s="139"/>
      <c r="M49" s="17" t="s">
        <v>47</v>
      </c>
      <c r="O49" s="193" t="s">
        <v>160</v>
      </c>
      <c r="P49" s="30" t="s">
        <v>49</v>
      </c>
      <c r="Q49" s="139"/>
      <c r="R49" s="139"/>
      <c r="S49" s="17" t="s">
        <v>47</v>
      </c>
    </row>
    <row r="50" spans="1:19" ht="11.25">
      <c r="A50" s="37"/>
      <c r="B50" s="41"/>
      <c r="C50" s="38"/>
      <c r="D50" s="28"/>
      <c r="E50" s="140"/>
      <c r="F50" s="140"/>
      <c r="G50" s="39"/>
      <c r="I50" s="38"/>
      <c r="J50" s="28"/>
      <c r="K50" s="140"/>
      <c r="L50" s="140"/>
      <c r="M50" s="39"/>
      <c r="O50" s="38"/>
      <c r="P50" s="28"/>
      <c r="Q50" s="140"/>
      <c r="R50" s="140"/>
      <c r="S50" s="39"/>
    </row>
    <row r="51" spans="1:19" ht="11.25">
      <c r="A51" s="34">
        <v>8</v>
      </c>
      <c r="B51" s="16" t="str">
        <f>HLOOKUP(language!$C$3,language!$E$1:$Z525,18,FALSE)</f>
        <v>Interface Module 4</v>
      </c>
      <c r="C51" s="20" t="str">
        <f>HLOOKUP(language!$C$3,language!$E$1:$Z527,21,FALSE)</f>
        <v>Two 1 Gbps RJ45 copper 100BASE-TX/1000BASE-T Ethernet ports</v>
      </c>
      <c r="D51" s="29" t="s">
        <v>32</v>
      </c>
      <c r="E51" s="138">
        <v>179.04</v>
      </c>
      <c r="F51" s="138">
        <f>2*E51</f>
        <v>358.08</v>
      </c>
      <c r="G51" s="35" t="s">
        <v>47</v>
      </c>
      <c r="I51" s="20" t="s">
        <v>146</v>
      </c>
      <c r="J51" s="29">
        <v>0</v>
      </c>
      <c r="K51" s="138"/>
      <c r="L51" s="138"/>
      <c r="M51" s="35" t="s">
        <v>47</v>
      </c>
      <c r="O51" s="20" t="s">
        <v>146</v>
      </c>
      <c r="P51" s="29">
        <v>0</v>
      </c>
      <c r="Q51" s="138"/>
      <c r="R51" s="138"/>
      <c r="S51" s="35" t="s">
        <v>47</v>
      </c>
    </row>
    <row r="52" spans="1:19" ht="11.25">
      <c r="A52" s="36"/>
      <c r="B52" s="18"/>
      <c r="C52" s="21" t="str">
        <f>HLOOKUP(language!$C$3,language!$E$1:$Z528,22,FALSE)</f>
        <v>Two slots for up to 1 Gbps SFP transceivers</v>
      </c>
      <c r="D52" s="30" t="s">
        <v>33</v>
      </c>
      <c r="E52" s="139">
        <v>179.04</v>
      </c>
      <c r="F52" s="139">
        <f>2*E52</f>
        <v>358.08</v>
      </c>
      <c r="G52" s="17" t="s">
        <v>47</v>
      </c>
      <c r="I52" s="21" t="s">
        <v>140</v>
      </c>
      <c r="J52" s="30" t="s">
        <v>32</v>
      </c>
      <c r="K52" s="139"/>
      <c r="L52" s="139"/>
      <c r="M52" s="17" t="s">
        <v>47</v>
      </c>
      <c r="O52" s="21" t="s">
        <v>140</v>
      </c>
      <c r="P52" s="30" t="s">
        <v>32</v>
      </c>
      <c r="Q52" s="139"/>
      <c r="R52" s="139"/>
      <c r="S52" s="17" t="s">
        <v>47</v>
      </c>
    </row>
    <row r="53" spans="1:19" ht="11.25">
      <c r="A53" s="36"/>
      <c r="B53" s="18"/>
      <c r="C53" s="21" t="str">
        <f>HLOOKUP(language!$C$3,language!$E$1:$Z529,23,FALSE)</f>
        <v>Two 1 Gbps LC-type connector multi mode fiber 1000BASE-SX Ethernet for up to 0.5 km</v>
      </c>
      <c r="D53" s="30" t="s">
        <v>35</v>
      </c>
      <c r="E53" s="139">
        <v>180.04</v>
      </c>
      <c r="F53" s="139">
        <f aca="true" t="shared" si="3" ref="F53:F59">2*E53</f>
        <v>360.08</v>
      </c>
      <c r="G53" s="17" t="s">
        <v>47</v>
      </c>
      <c r="I53" s="21" t="s">
        <v>141</v>
      </c>
      <c r="J53" s="30" t="s">
        <v>33</v>
      </c>
      <c r="K53" s="139"/>
      <c r="L53" s="139"/>
      <c r="M53" s="17" t="s">
        <v>47</v>
      </c>
      <c r="O53" s="21" t="s">
        <v>141</v>
      </c>
      <c r="P53" s="30" t="s">
        <v>33</v>
      </c>
      <c r="Q53" s="139"/>
      <c r="R53" s="139"/>
      <c r="S53" s="17" t="s">
        <v>47</v>
      </c>
    </row>
    <row r="54" spans="1:19" ht="11.25">
      <c r="A54" s="36"/>
      <c r="B54" s="18"/>
      <c r="C54" s="21" t="str">
        <f>HLOOKUP(language!$C$3,language!$E$1:$Z530,24,FALSE)</f>
        <v>Two 1 Gbps LC-type connector single mode fiber 1000BASE-LX Ethernet for up to 10 km</v>
      </c>
      <c r="D54" s="30" t="s">
        <v>36</v>
      </c>
      <c r="E54" s="139">
        <v>181.04</v>
      </c>
      <c r="F54" s="139">
        <f t="shared" si="3"/>
        <v>362.08</v>
      </c>
      <c r="G54" s="17" t="s">
        <v>47</v>
      </c>
      <c r="I54" s="21" t="s">
        <v>142</v>
      </c>
      <c r="J54" s="30" t="s">
        <v>35</v>
      </c>
      <c r="K54" s="139"/>
      <c r="L54" s="139"/>
      <c r="M54" s="17" t="s">
        <v>47</v>
      </c>
      <c r="O54" s="21" t="s">
        <v>142</v>
      </c>
      <c r="P54" s="30" t="s">
        <v>35</v>
      </c>
      <c r="Q54" s="139"/>
      <c r="R54" s="139"/>
      <c r="S54" s="17" t="s">
        <v>47</v>
      </c>
    </row>
    <row r="55" spans="1:19" ht="11.25">
      <c r="A55" s="36"/>
      <c r="B55" s="18"/>
      <c r="C55" s="21" t="str">
        <f>HLOOKUP(language!$C$3,language!$E$1:$Z531,25,FALSE)</f>
        <v>Two 1 Gbps LC-type connector single mode fiber 1000BASE-ZX Ethernet for up to 40 km</v>
      </c>
      <c r="D55" s="30" t="s">
        <v>48</v>
      </c>
      <c r="E55" s="139">
        <v>182.04</v>
      </c>
      <c r="F55" s="139">
        <f t="shared" si="3"/>
        <v>364.08</v>
      </c>
      <c r="G55" s="17" t="s">
        <v>47</v>
      </c>
      <c r="I55" s="21" t="s">
        <v>143</v>
      </c>
      <c r="J55" s="30" t="s">
        <v>36</v>
      </c>
      <c r="K55" s="139"/>
      <c r="L55" s="139"/>
      <c r="M55" s="17" t="s">
        <v>47</v>
      </c>
      <c r="O55" s="21" t="s">
        <v>143</v>
      </c>
      <c r="P55" s="30" t="s">
        <v>36</v>
      </c>
      <c r="Q55" s="139"/>
      <c r="R55" s="139"/>
      <c r="S55" s="17" t="s">
        <v>47</v>
      </c>
    </row>
    <row r="56" spans="1:19" ht="11.25">
      <c r="A56" s="36"/>
      <c r="B56" s="18"/>
      <c r="C56" s="21" t="str">
        <f>HLOOKUP(language!$C$3,language!$E$1:$Z532,26,FALSE)</f>
        <v>Two 1 Gbps LC-type connector single mode fiber 1000BASE-ZX Ethernet for up to 80 km</v>
      </c>
      <c r="D56" s="30" t="s">
        <v>49</v>
      </c>
      <c r="E56" s="139">
        <v>183.04</v>
      </c>
      <c r="F56" s="139">
        <f t="shared" si="3"/>
        <v>366.08</v>
      </c>
      <c r="G56" s="17" t="s">
        <v>47</v>
      </c>
      <c r="I56" s="21" t="s">
        <v>144</v>
      </c>
      <c r="J56" s="30" t="s">
        <v>48</v>
      </c>
      <c r="K56" s="139"/>
      <c r="L56" s="139"/>
      <c r="M56" s="17" t="s">
        <v>47</v>
      </c>
      <c r="O56" s="21" t="s">
        <v>144</v>
      </c>
      <c r="P56" s="30" t="s">
        <v>48</v>
      </c>
      <c r="Q56" s="139"/>
      <c r="R56" s="139"/>
      <c r="S56" s="17" t="s">
        <v>47</v>
      </c>
    </row>
    <row r="57" spans="1:19" ht="11.25">
      <c r="A57" s="36"/>
      <c r="B57" s="18"/>
      <c r="C57" s="21" t="str">
        <f>HLOOKUP(language!$C$3,language!$E$1:$Z533,27,FALSE)</f>
        <v>Two 100 Mbps ST-type connector multi mode fiber 100BASE-FX Ethernet for up to 2 km</v>
      </c>
      <c r="D57" s="30" t="s">
        <v>50</v>
      </c>
      <c r="E57" s="139">
        <v>184.04</v>
      </c>
      <c r="F57" s="139">
        <f t="shared" si="3"/>
        <v>368.08</v>
      </c>
      <c r="G57" s="17" t="s">
        <v>47</v>
      </c>
      <c r="I57" s="21" t="s">
        <v>145</v>
      </c>
      <c r="J57" s="30" t="s">
        <v>49</v>
      </c>
      <c r="K57" s="139"/>
      <c r="L57" s="139"/>
      <c r="M57" s="17" t="s">
        <v>47</v>
      </c>
      <c r="O57" s="21" t="s">
        <v>145</v>
      </c>
      <c r="P57" s="30" t="s">
        <v>49</v>
      </c>
      <c r="Q57" s="139"/>
      <c r="R57" s="139"/>
      <c r="S57" s="17" t="s">
        <v>47</v>
      </c>
    </row>
    <row r="58" spans="1:19" ht="11.25">
      <c r="A58" s="36"/>
      <c r="B58" s="18"/>
      <c r="C58" s="21" t="str">
        <f>HLOOKUP(language!$C$3,language!$E$1:$Z534,28,FALSE)</f>
        <v>Two 100 Mbps LC-type connector multi mode fiber 100BASE-FX Ethernet for up to 2 km</v>
      </c>
      <c r="D58" s="30" t="s">
        <v>51</v>
      </c>
      <c r="E58" s="139">
        <v>185.04</v>
      </c>
      <c r="F58" s="139">
        <f t="shared" si="3"/>
        <v>370.08</v>
      </c>
      <c r="G58" s="17" t="s">
        <v>47</v>
      </c>
      <c r="I58" s="193" t="s">
        <v>160</v>
      </c>
      <c r="J58" s="30" t="s">
        <v>49</v>
      </c>
      <c r="K58" s="139"/>
      <c r="L58" s="139"/>
      <c r="M58" s="17" t="s">
        <v>47</v>
      </c>
      <c r="O58" s="193" t="s">
        <v>160</v>
      </c>
      <c r="P58" s="30" t="s">
        <v>49</v>
      </c>
      <c r="Q58" s="139"/>
      <c r="R58" s="139"/>
      <c r="S58" s="17" t="s">
        <v>47</v>
      </c>
    </row>
    <row r="59" spans="1:19" ht="11.25">
      <c r="A59" s="36"/>
      <c r="B59" s="18"/>
      <c r="C59" s="21" t="str">
        <f>HLOOKUP(language!$C$3,language!$E$1:$Z518,8,FALSE)</f>
        <v>Not installed</v>
      </c>
      <c r="D59" s="30" t="s">
        <v>34</v>
      </c>
      <c r="E59" s="139">
        <v>0</v>
      </c>
      <c r="F59" s="139">
        <f t="shared" si="3"/>
        <v>0</v>
      </c>
      <c r="G59" s="17" t="s">
        <v>47</v>
      </c>
      <c r="I59" s="193" t="s">
        <v>160</v>
      </c>
      <c r="J59" s="30" t="s">
        <v>49</v>
      </c>
      <c r="K59" s="139"/>
      <c r="L59" s="139"/>
      <c r="M59" s="17" t="s">
        <v>47</v>
      </c>
      <c r="O59" s="193" t="s">
        <v>160</v>
      </c>
      <c r="P59" s="30" t="s">
        <v>49</v>
      </c>
      <c r="Q59" s="139"/>
      <c r="R59" s="139"/>
      <c r="S59" s="17" t="s">
        <v>47</v>
      </c>
    </row>
    <row r="60" spans="1:19" ht="11.25">
      <c r="A60" s="37"/>
      <c r="B60" s="41"/>
      <c r="C60" s="38"/>
      <c r="D60" s="28"/>
      <c r="E60" s="140"/>
      <c r="F60" s="140"/>
      <c r="G60" s="39"/>
      <c r="I60" s="38"/>
      <c r="J60" s="28"/>
      <c r="K60" s="140"/>
      <c r="L60" s="140"/>
      <c r="M60" s="39"/>
      <c r="O60" s="38"/>
      <c r="P60" s="28"/>
      <c r="Q60" s="140"/>
      <c r="R60" s="140"/>
      <c r="S60" s="39"/>
    </row>
    <row r="61" spans="1:19" ht="11.25">
      <c r="A61" s="34">
        <v>9</v>
      </c>
      <c r="B61" s="16" t="str">
        <f>HLOOKUP(language!$C$3,language!$E$1:$Z535,19,FALSE)</f>
        <v>Interface Module 5</v>
      </c>
      <c r="C61" s="20" t="str">
        <f>HLOOKUP(language!$C$3,language!$E$1:$Z537,21,FALSE)</f>
        <v>Two 1 Gbps RJ45 copper 100BASE-TX/1000BASE-T Ethernet ports</v>
      </c>
      <c r="D61" s="29" t="s">
        <v>32</v>
      </c>
      <c r="E61" s="138">
        <v>179.04</v>
      </c>
      <c r="F61" s="138">
        <f>2*E61</f>
        <v>358.08</v>
      </c>
      <c r="G61" s="35" t="s">
        <v>47</v>
      </c>
      <c r="I61" s="20" t="s">
        <v>146</v>
      </c>
      <c r="J61" s="29">
        <v>0</v>
      </c>
      <c r="K61" s="138"/>
      <c r="L61" s="138"/>
      <c r="M61" s="35" t="s">
        <v>47</v>
      </c>
      <c r="O61" s="20" t="s">
        <v>146</v>
      </c>
      <c r="P61" s="29">
        <v>0</v>
      </c>
      <c r="Q61" s="138"/>
      <c r="R61" s="138"/>
      <c r="S61" s="35" t="s">
        <v>47</v>
      </c>
    </row>
    <row r="62" spans="1:19" ht="11.25">
      <c r="A62" s="36"/>
      <c r="B62" s="18"/>
      <c r="C62" s="21" t="str">
        <f>HLOOKUP(language!$C$3,language!$E$1:$Z538,22,FALSE)</f>
        <v>Two slots for up to 1 Gbps SFP transceivers</v>
      </c>
      <c r="D62" s="30" t="s">
        <v>33</v>
      </c>
      <c r="E62" s="139">
        <v>179.04</v>
      </c>
      <c r="F62" s="139">
        <f>2*E62</f>
        <v>358.08</v>
      </c>
      <c r="G62" s="17" t="s">
        <v>47</v>
      </c>
      <c r="I62" s="21" t="s">
        <v>140</v>
      </c>
      <c r="J62" s="30" t="s">
        <v>32</v>
      </c>
      <c r="K62" s="139"/>
      <c r="L62" s="139"/>
      <c r="M62" s="17" t="s">
        <v>47</v>
      </c>
      <c r="O62" s="21" t="s">
        <v>140</v>
      </c>
      <c r="P62" s="30" t="s">
        <v>32</v>
      </c>
      <c r="Q62" s="139"/>
      <c r="R62" s="139"/>
      <c r="S62" s="17" t="s">
        <v>47</v>
      </c>
    </row>
    <row r="63" spans="1:19" ht="11.25">
      <c r="A63" s="36"/>
      <c r="B63" s="18"/>
      <c r="C63" s="21" t="str">
        <f>HLOOKUP(language!$C$3,language!$E$1:$Z539,23,FALSE)</f>
        <v>Two 1 Gbps LC-type connector multi mode fiber 1000BASE-SX Ethernet for up to 0.5 km</v>
      </c>
      <c r="D63" s="30" t="s">
        <v>35</v>
      </c>
      <c r="E63" s="139">
        <v>180.04</v>
      </c>
      <c r="F63" s="139">
        <f aca="true" t="shared" si="4" ref="F63:F69">2*E63</f>
        <v>360.08</v>
      </c>
      <c r="G63" s="17" t="s">
        <v>47</v>
      </c>
      <c r="I63" s="21" t="s">
        <v>141</v>
      </c>
      <c r="J63" s="30" t="s">
        <v>33</v>
      </c>
      <c r="K63" s="139"/>
      <c r="L63" s="139"/>
      <c r="M63" s="17" t="s">
        <v>47</v>
      </c>
      <c r="O63" s="21" t="s">
        <v>141</v>
      </c>
      <c r="P63" s="30" t="s">
        <v>33</v>
      </c>
      <c r="Q63" s="139"/>
      <c r="R63" s="139"/>
      <c r="S63" s="17" t="s">
        <v>47</v>
      </c>
    </row>
    <row r="64" spans="1:19" ht="11.25">
      <c r="A64" s="36"/>
      <c r="B64" s="18"/>
      <c r="C64" s="21" t="str">
        <f>HLOOKUP(language!$C$3,language!$E$1:$Z540,24,FALSE)</f>
        <v>Two 1 Gbps LC-type connector single mode fiber 1000BASE-LX Ethernet for up to 10 km</v>
      </c>
      <c r="D64" s="30" t="s">
        <v>36</v>
      </c>
      <c r="E64" s="139">
        <v>181.04</v>
      </c>
      <c r="F64" s="139">
        <f t="shared" si="4"/>
        <v>362.08</v>
      </c>
      <c r="G64" s="17" t="s">
        <v>47</v>
      </c>
      <c r="I64" s="21" t="s">
        <v>142</v>
      </c>
      <c r="J64" s="30" t="s">
        <v>35</v>
      </c>
      <c r="K64" s="139"/>
      <c r="L64" s="139"/>
      <c r="M64" s="17" t="s">
        <v>47</v>
      </c>
      <c r="O64" s="21" t="s">
        <v>142</v>
      </c>
      <c r="P64" s="30" t="s">
        <v>35</v>
      </c>
      <c r="Q64" s="139"/>
      <c r="R64" s="139"/>
      <c r="S64" s="17" t="s">
        <v>47</v>
      </c>
    </row>
    <row r="65" spans="1:19" ht="11.25">
      <c r="A65" s="36"/>
      <c r="B65" s="18"/>
      <c r="C65" s="21" t="str">
        <f>HLOOKUP(language!$C$3,language!$E$1:$Z541,25,FALSE)</f>
        <v>Two 1 Gbps LC-type connector single mode fiber 1000BASE-ZX Ethernet for up to 40 km</v>
      </c>
      <c r="D65" s="30" t="s">
        <v>48</v>
      </c>
      <c r="E65" s="139">
        <v>182.04</v>
      </c>
      <c r="F65" s="139">
        <f t="shared" si="4"/>
        <v>364.08</v>
      </c>
      <c r="G65" s="17" t="s">
        <v>47</v>
      </c>
      <c r="I65" s="21" t="s">
        <v>143</v>
      </c>
      <c r="J65" s="30" t="s">
        <v>36</v>
      </c>
      <c r="K65" s="139"/>
      <c r="L65" s="139"/>
      <c r="M65" s="17" t="s">
        <v>47</v>
      </c>
      <c r="O65" s="21" t="s">
        <v>143</v>
      </c>
      <c r="P65" s="30" t="s">
        <v>36</v>
      </c>
      <c r="Q65" s="139"/>
      <c r="R65" s="139"/>
      <c r="S65" s="17" t="s">
        <v>47</v>
      </c>
    </row>
    <row r="66" spans="1:19" ht="11.25">
      <c r="A66" s="36"/>
      <c r="B66" s="18"/>
      <c r="C66" s="21" t="str">
        <f>HLOOKUP(language!$C$3,language!$E$1:$Z542,26,FALSE)</f>
        <v>Two 1 Gbps LC-type connector single mode fiber 1000BASE-ZX Ethernet for up to 80 km</v>
      </c>
      <c r="D66" s="30" t="s">
        <v>49</v>
      </c>
      <c r="E66" s="139">
        <v>183.04</v>
      </c>
      <c r="F66" s="139">
        <f t="shared" si="4"/>
        <v>366.08</v>
      </c>
      <c r="G66" s="17" t="s">
        <v>47</v>
      </c>
      <c r="I66" s="21" t="s">
        <v>144</v>
      </c>
      <c r="J66" s="30" t="s">
        <v>48</v>
      </c>
      <c r="K66" s="139"/>
      <c r="L66" s="139"/>
      <c r="M66" s="17" t="s">
        <v>47</v>
      </c>
      <c r="O66" s="21" t="s">
        <v>144</v>
      </c>
      <c r="P66" s="30" t="s">
        <v>48</v>
      </c>
      <c r="Q66" s="139"/>
      <c r="R66" s="139"/>
      <c r="S66" s="17" t="s">
        <v>47</v>
      </c>
    </row>
    <row r="67" spans="1:19" ht="11.25">
      <c r="A67" s="36"/>
      <c r="B67" s="18"/>
      <c r="C67" s="21" t="str">
        <f>HLOOKUP(language!$C$3,language!$E$1:$Z543,27,FALSE)</f>
        <v>Two 100 Mbps ST-type connector multi mode fiber 100BASE-FX Ethernet for up to 2 km</v>
      </c>
      <c r="D67" s="30" t="s">
        <v>50</v>
      </c>
      <c r="E67" s="139">
        <v>184.04</v>
      </c>
      <c r="F67" s="139">
        <f t="shared" si="4"/>
        <v>368.08</v>
      </c>
      <c r="G67" s="17" t="s">
        <v>47</v>
      </c>
      <c r="I67" s="21" t="s">
        <v>145</v>
      </c>
      <c r="J67" s="30" t="s">
        <v>49</v>
      </c>
      <c r="K67" s="139"/>
      <c r="L67" s="139"/>
      <c r="M67" s="17" t="s">
        <v>47</v>
      </c>
      <c r="O67" s="21" t="s">
        <v>145</v>
      </c>
      <c r="P67" s="30" t="s">
        <v>49</v>
      </c>
      <c r="Q67" s="139"/>
      <c r="R67" s="139"/>
      <c r="S67" s="17" t="s">
        <v>47</v>
      </c>
    </row>
    <row r="68" spans="1:19" ht="11.25">
      <c r="A68" s="36"/>
      <c r="B68" s="18"/>
      <c r="C68" s="21" t="str">
        <f>HLOOKUP(language!$C$3,language!$E$1:$Z544,28,FALSE)</f>
        <v>Two 100 Mbps LC-type connector multi mode fiber 100BASE-FX Ethernet for up to 2 km</v>
      </c>
      <c r="D68" s="30" t="s">
        <v>51</v>
      </c>
      <c r="E68" s="139">
        <v>185.04</v>
      </c>
      <c r="F68" s="139">
        <f t="shared" si="4"/>
        <v>370.08</v>
      </c>
      <c r="G68" s="17" t="s">
        <v>47</v>
      </c>
      <c r="I68" s="193" t="s">
        <v>160</v>
      </c>
      <c r="J68" s="30" t="s">
        <v>49</v>
      </c>
      <c r="K68" s="139"/>
      <c r="L68" s="139"/>
      <c r="M68" s="17" t="s">
        <v>47</v>
      </c>
      <c r="O68" s="193" t="s">
        <v>160</v>
      </c>
      <c r="P68" s="30" t="s">
        <v>49</v>
      </c>
      <c r="Q68" s="139"/>
      <c r="R68" s="139"/>
      <c r="S68" s="17" t="s">
        <v>47</v>
      </c>
    </row>
    <row r="69" spans="1:19" ht="11.25">
      <c r="A69" s="36"/>
      <c r="B69" s="18"/>
      <c r="C69" s="21" t="str">
        <f>HLOOKUP(language!$C$3,language!$E$1:$Z528,8,FALSE)</f>
        <v>Not installed</v>
      </c>
      <c r="D69" s="30" t="s">
        <v>34</v>
      </c>
      <c r="E69" s="139">
        <v>0</v>
      </c>
      <c r="F69" s="139">
        <f t="shared" si="4"/>
        <v>0</v>
      </c>
      <c r="G69" s="17" t="s">
        <v>47</v>
      </c>
      <c r="I69" s="193" t="s">
        <v>160</v>
      </c>
      <c r="J69" s="30" t="s">
        <v>49</v>
      </c>
      <c r="K69" s="139"/>
      <c r="L69" s="139"/>
      <c r="M69" s="17" t="s">
        <v>47</v>
      </c>
      <c r="O69" s="193" t="s">
        <v>160</v>
      </c>
      <c r="P69" s="30" t="s">
        <v>49</v>
      </c>
      <c r="Q69" s="139"/>
      <c r="R69" s="139"/>
      <c r="S69" s="17" t="s">
        <v>47</v>
      </c>
    </row>
    <row r="70" spans="1:19" ht="11.25">
      <c r="A70" s="37"/>
      <c r="B70" s="41"/>
      <c r="C70" s="38"/>
      <c r="D70" s="28"/>
      <c r="E70" s="140"/>
      <c r="F70" s="140"/>
      <c r="G70" s="39"/>
      <c r="I70" s="38"/>
      <c r="J70" s="28"/>
      <c r="K70" s="140"/>
      <c r="L70" s="140"/>
      <c r="M70" s="39"/>
      <c r="O70" s="38"/>
      <c r="P70" s="28"/>
      <c r="Q70" s="140"/>
      <c r="R70" s="140"/>
      <c r="S70" s="39"/>
    </row>
    <row r="71" spans="1:19" ht="11.25">
      <c r="A71" s="34">
        <v>10</v>
      </c>
      <c r="B71" s="16" t="str">
        <f>HLOOKUP(language!$C$3,language!$E$1:$Z545,20,FALSE)</f>
        <v>Interface Module 6</v>
      </c>
      <c r="C71" s="20" t="str">
        <f>HLOOKUP(language!$C$3,language!$E$1:$Z547,21,FALSE)</f>
        <v>Two 1 Gbps RJ45 copper 100BASE-TX/1000BASE-T Ethernet ports</v>
      </c>
      <c r="D71" s="29" t="s">
        <v>32</v>
      </c>
      <c r="E71" s="138">
        <v>179.04</v>
      </c>
      <c r="F71" s="138">
        <f>2*E71</f>
        <v>358.08</v>
      </c>
      <c r="G71" s="35" t="s">
        <v>47</v>
      </c>
      <c r="I71" s="20" t="s">
        <v>146</v>
      </c>
      <c r="J71" s="29">
        <v>0</v>
      </c>
      <c r="K71" s="138"/>
      <c r="L71" s="138"/>
      <c r="M71" s="35" t="s">
        <v>47</v>
      </c>
      <c r="O71" s="20" t="s">
        <v>146</v>
      </c>
      <c r="P71" s="29">
        <v>0</v>
      </c>
      <c r="Q71" s="138"/>
      <c r="R71" s="138"/>
      <c r="S71" s="35" t="s">
        <v>47</v>
      </c>
    </row>
    <row r="72" spans="1:19" ht="11.25">
      <c r="A72" s="36"/>
      <c r="B72" s="18"/>
      <c r="C72" s="21" t="str">
        <f>HLOOKUP(language!$C$3,language!$E$1:$Z548,22,FALSE)</f>
        <v>Two slots for up to 1 Gbps SFP transceivers</v>
      </c>
      <c r="D72" s="30" t="s">
        <v>33</v>
      </c>
      <c r="E72" s="139">
        <v>179.04</v>
      </c>
      <c r="F72" s="139">
        <f>2*E72</f>
        <v>358.08</v>
      </c>
      <c r="G72" s="17" t="s">
        <v>47</v>
      </c>
      <c r="I72" s="21" t="s">
        <v>140</v>
      </c>
      <c r="J72" s="30" t="s">
        <v>32</v>
      </c>
      <c r="K72" s="139"/>
      <c r="L72" s="139"/>
      <c r="M72" s="17" t="s">
        <v>47</v>
      </c>
      <c r="O72" s="21" t="s">
        <v>140</v>
      </c>
      <c r="P72" s="30" t="s">
        <v>32</v>
      </c>
      <c r="Q72" s="139"/>
      <c r="R72" s="139"/>
      <c r="S72" s="17" t="s">
        <v>47</v>
      </c>
    </row>
    <row r="73" spans="1:19" ht="11.25">
      <c r="A73" s="36"/>
      <c r="B73" s="18"/>
      <c r="C73" s="21" t="str">
        <f>HLOOKUP(language!$C$3,language!$E$1:$Z549,23,FALSE)</f>
        <v>Two 1 Gbps LC-type connector multi mode fiber 1000BASE-SX Ethernet for up to 0.5 km</v>
      </c>
      <c r="D73" s="30" t="s">
        <v>35</v>
      </c>
      <c r="E73" s="139">
        <v>180.04</v>
      </c>
      <c r="F73" s="139">
        <f aca="true" t="shared" si="5" ref="F73:F81">2*E73</f>
        <v>360.08</v>
      </c>
      <c r="G73" s="17" t="s">
        <v>47</v>
      </c>
      <c r="I73" s="21" t="s">
        <v>141</v>
      </c>
      <c r="J73" s="30" t="s">
        <v>33</v>
      </c>
      <c r="K73" s="139"/>
      <c r="L73" s="139"/>
      <c r="M73" s="17" t="s">
        <v>47</v>
      </c>
      <c r="O73" s="21" t="s">
        <v>141</v>
      </c>
      <c r="P73" s="30" t="s">
        <v>33</v>
      </c>
      <c r="Q73" s="139"/>
      <c r="R73" s="139"/>
      <c r="S73" s="17" t="s">
        <v>47</v>
      </c>
    </row>
    <row r="74" spans="1:19" ht="11.25">
      <c r="A74" s="36"/>
      <c r="B74" s="18"/>
      <c r="C74" s="21" t="str">
        <f>HLOOKUP(language!$C$3,language!$E$1:$Z550,24,FALSE)</f>
        <v>Two 1 Gbps LC-type connector single mode fiber 1000BASE-LX Ethernet for up to 10 km</v>
      </c>
      <c r="D74" s="30" t="s">
        <v>36</v>
      </c>
      <c r="E74" s="139">
        <v>181.04</v>
      </c>
      <c r="F74" s="139">
        <f t="shared" si="5"/>
        <v>362.08</v>
      </c>
      <c r="G74" s="17" t="s">
        <v>47</v>
      </c>
      <c r="I74" s="21" t="s">
        <v>142</v>
      </c>
      <c r="J74" s="30" t="s">
        <v>35</v>
      </c>
      <c r="K74" s="139"/>
      <c r="L74" s="139"/>
      <c r="M74" s="17" t="s">
        <v>47</v>
      </c>
      <c r="O74" s="21" t="s">
        <v>142</v>
      </c>
      <c r="P74" s="30" t="s">
        <v>35</v>
      </c>
      <c r="Q74" s="139"/>
      <c r="R74" s="139"/>
      <c r="S74" s="17" t="s">
        <v>47</v>
      </c>
    </row>
    <row r="75" spans="1:19" ht="11.25">
      <c r="A75" s="36"/>
      <c r="B75" s="18"/>
      <c r="C75" s="21" t="str">
        <f>HLOOKUP(language!$C$3,language!$E$1:$Z551,25,FALSE)</f>
        <v>Two 1 Gbps LC-type connector single mode fiber 1000BASE-ZX Ethernet for up to 40 km</v>
      </c>
      <c r="D75" s="30" t="s">
        <v>48</v>
      </c>
      <c r="E75" s="139">
        <v>182.04</v>
      </c>
      <c r="F75" s="139">
        <f t="shared" si="5"/>
        <v>364.08</v>
      </c>
      <c r="G75" s="17" t="s">
        <v>47</v>
      </c>
      <c r="I75" s="21" t="s">
        <v>143</v>
      </c>
      <c r="J75" s="30" t="s">
        <v>36</v>
      </c>
      <c r="K75" s="139"/>
      <c r="L75" s="139"/>
      <c r="M75" s="17" t="s">
        <v>47</v>
      </c>
      <c r="O75" s="21" t="s">
        <v>143</v>
      </c>
      <c r="P75" s="30" t="s">
        <v>36</v>
      </c>
      <c r="Q75" s="139"/>
      <c r="R75" s="139"/>
      <c r="S75" s="17" t="s">
        <v>47</v>
      </c>
    </row>
    <row r="76" spans="1:19" ht="11.25">
      <c r="A76" s="36"/>
      <c r="B76" s="18"/>
      <c r="C76" s="21" t="str">
        <f>HLOOKUP(language!$C$3,language!$E$1:$Z552,26,FALSE)</f>
        <v>Two 1 Gbps LC-type connector single mode fiber 1000BASE-ZX Ethernet for up to 80 km</v>
      </c>
      <c r="D76" s="30" t="s">
        <v>49</v>
      </c>
      <c r="E76" s="139">
        <v>183.04</v>
      </c>
      <c r="F76" s="139">
        <f t="shared" si="5"/>
        <v>366.08</v>
      </c>
      <c r="G76" s="17" t="s">
        <v>47</v>
      </c>
      <c r="I76" s="21" t="s">
        <v>144</v>
      </c>
      <c r="J76" s="30" t="s">
        <v>48</v>
      </c>
      <c r="K76" s="139"/>
      <c r="L76" s="139"/>
      <c r="M76" s="17" t="s">
        <v>47</v>
      </c>
      <c r="O76" s="21" t="s">
        <v>144</v>
      </c>
      <c r="P76" s="30" t="s">
        <v>48</v>
      </c>
      <c r="Q76" s="139"/>
      <c r="R76" s="139"/>
      <c r="S76" s="17" t="s">
        <v>47</v>
      </c>
    </row>
    <row r="77" spans="1:19" ht="11.25">
      <c r="A77" s="36"/>
      <c r="B77" s="18"/>
      <c r="C77" s="21" t="str">
        <f>HLOOKUP(language!$C$3,language!$E$1:$Z553,27,FALSE)</f>
        <v>Two 100 Mbps ST-type connector multi mode fiber 100BASE-FX Ethernet for up to 2 km</v>
      </c>
      <c r="D77" s="30" t="s">
        <v>50</v>
      </c>
      <c r="E77" s="139">
        <v>184.04</v>
      </c>
      <c r="F77" s="139">
        <f t="shared" si="5"/>
        <v>368.08</v>
      </c>
      <c r="G77" s="17" t="s">
        <v>47</v>
      </c>
      <c r="I77" s="21" t="s">
        <v>145</v>
      </c>
      <c r="J77" s="30" t="s">
        <v>49</v>
      </c>
      <c r="K77" s="139"/>
      <c r="L77" s="139"/>
      <c r="M77" s="17" t="s">
        <v>47</v>
      </c>
      <c r="O77" s="21" t="s">
        <v>145</v>
      </c>
      <c r="P77" s="30" t="s">
        <v>49</v>
      </c>
      <c r="Q77" s="139"/>
      <c r="R77" s="139"/>
      <c r="S77" s="17" t="s">
        <v>47</v>
      </c>
    </row>
    <row r="78" spans="1:19" ht="11.25">
      <c r="A78" s="36"/>
      <c r="B78" s="18"/>
      <c r="C78" s="21" t="str">
        <f>HLOOKUP(language!$C$3,language!$E$1:$Z554,28,FALSE)</f>
        <v>Two 100 Mbps LC-type connector multi mode fiber 100BASE-FX Ethernet for up to 2 km</v>
      </c>
      <c r="D78" s="30" t="s">
        <v>51</v>
      </c>
      <c r="E78" s="139">
        <v>185.04</v>
      </c>
      <c r="F78" s="139">
        <f t="shared" si="5"/>
        <v>370.08</v>
      </c>
      <c r="G78" s="17" t="s">
        <v>47</v>
      </c>
      <c r="I78" s="193" t="s">
        <v>160</v>
      </c>
      <c r="J78" s="30" t="s">
        <v>49</v>
      </c>
      <c r="K78" s="139"/>
      <c r="L78" s="139"/>
      <c r="M78" s="17" t="s">
        <v>47</v>
      </c>
      <c r="O78" s="193" t="s">
        <v>160</v>
      </c>
      <c r="P78" s="30" t="s">
        <v>49</v>
      </c>
      <c r="Q78" s="139"/>
      <c r="R78" s="139"/>
      <c r="S78" s="17" t="s">
        <v>47</v>
      </c>
    </row>
    <row r="79" spans="1:19" ht="11.25">
      <c r="A79" s="36"/>
      <c r="B79" s="18"/>
      <c r="C79" s="21" t="str">
        <f>HLOOKUP(language!$C$3,language!$E$1:$Z538,8,FALSE)</f>
        <v>Not installed</v>
      </c>
      <c r="D79" s="30" t="s">
        <v>34</v>
      </c>
      <c r="E79" s="139">
        <v>0</v>
      </c>
      <c r="F79" s="139">
        <f t="shared" si="5"/>
        <v>0</v>
      </c>
      <c r="G79" s="17" t="s">
        <v>47</v>
      </c>
      <c r="I79" s="193" t="s">
        <v>160</v>
      </c>
      <c r="J79" s="30" t="s">
        <v>49</v>
      </c>
      <c r="K79" s="139"/>
      <c r="L79" s="139"/>
      <c r="M79" s="17" t="s">
        <v>47</v>
      </c>
      <c r="O79" s="193" t="s">
        <v>160</v>
      </c>
      <c r="P79" s="30" t="s">
        <v>49</v>
      </c>
      <c r="Q79" s="139"/>
      <c r="R79" s="139"/>
      <c r="S79" s="17" t="s">
        <v>47</v>
      </c>
    </row>
    <row r="80" spans="1:19" ht="11.25">
      <c r="A80" s="37"/>
      <c r="B80" s="41"/>
      <c r="C80" s="38"/>
      <c r="D80" s="28"/>
      <c r="E80" s="140"/>
      <c r="F80" s="140"/>
      <c r="G80" s="39"/>
      <c r="I80" s="38"/>
      <c r="J80" s="28"/>
      <c r="K80" s="140"/>
      <c r="L80" s="140"/>
      <c r="M80" s="39"/>
      <c r="O80" s="38"/>
      <c r="P80" s="28"/>
      <c r="Q80" s="140"/>
      <c r="R80" s="140"/>
      <c r="S80" s="39"/>
    </row>
    <row r="81" spans="1:19" ht="11.25">
      <c r="A81" s="34">
        <v>11</v>
      </c>
      <c r="B81" s="16" t="str">
        <f>HLOOKUP(language!$C$3,language!$E$1:$Z555,29,FALSE)</f>
        <v>PTP Support</v>
      </c>
      <c r="C81" s="20" t="str">
        <f>HLOOKUP(language!$C$3,language!$E$1:$Z557,30,FALSE)</f>
        <v>With PTP (IEEE 1588) support</v>
      </c>
      <c r="D81" s="29" t="s">
        <v>79</v>
      </c>
      <c r="E81" s="138">
        <v>100</v>
      </c>
      <c r="F81" s="139">
        <f t="shared" si="5"/>
        <v>200</v>
      </c>
      <c r="G81" s="35" t="s">
        <v>47</v>
      </c>
      <c r="I81" s="20" t="str">
        <f>HLOOKUP(language!$C$3,language!$E$1:$Z557,30,FALSE)</f>
        <v>With PTP (IEEE 1588) support</v>
      </c>
      <c r="J81" s="29" t="s">
        <v>79</v>
      </c>
      <c r="K81" s="138"/>
      <c r="L81" s="139"/>
      <c r="M81" s="35" t="s">
        <v>47</v>
      </c>
      <c r="O81" s="20" t="str">
        <f>HLOOKUP(language!$C$3,language!$E$1:$Z557,30,FALSE)</f>
        <v>With PTP (IEEE 1588) support</v>
      </c>
      <c r="P81" s="29" t="s">
        <v>79</v>
      </c>
      <c r="Q81" s="138"/>
      <c r="R81" s="139"/>
      <c r="S81" s="35" t="s">
        <v>47</v>
      </c>
    </row>
    <row r="82" spans="1:19" ht="11.25">
      <c r="A82" s="36"/>
      <c r="B82" s="18"/>
      <c r="C82" s="21" t="str">
        <f>HLOOKUP(language!$C$3,language!$E$1:$Z558,31,FALSE)</f>
        <v>Without PTP (IEEE 1588) support</v>
      </c>
      <c r="D82" s="30" t="s">
        <v>34</v>
      </c>
      <c r="E82" s="139">
        <v>0</v>
      </c>
      <c r="F82" s="139">
        <v>0</v>
      </c>
      <c r="G82" s="17" t="s">
        <v>47</v>
      </c>
      <c r="I82" s="21" t="str">
        <f>HLOOKUP(language!$C$3,language!$E$1:$Z558,31,FALSE)</f>
        <v>Without PTP (IEEE 1588) support</v>
      </c>
      <c r="J82" s="30" t="s">
        <v>34</v>
      </c>
      <c r="K82" s="139"/>
      <c r="L82" s="139"/>
      <c r="M82" s="17" t="s">
        <v>47</v>
      </c>
      <c r="O82" s="21" t="str">
        <f>HLOOKUP(language!$C$3,language!$E$1:$Z558,31,FALSE)</f>
        <v>Without PTP (IEEE 1588) support</v>
      </c>
      <c r="P82" s="30" t="s">
        <v>34</v>
      </c>
      <c r="Q82" s="139"/>
      <c r="R82" s="139"/>
      <c r="S82" s="17" t="s">
        <v>47</v>
      </c>
    </row>
    <row r="83" spans="1:19" ht="11.25">
      <c r="A83" s="37"/>
      <c r="B83" s="41"/>
      <c r="C83" s="38"/>
      <c r="D83" s="28"/>
      <c r="E83" s="140"/>
      <c r="F83" s="140"/>
      <c r="G83" s="39"/>
      <c r="I83" s="38"/>
      <c r="J83" s="28"/>
      <c r="K83" s="140"/>
      <c r="L83" s="140"/>
      <c r="M83" s="39"/>
      <c r="O83" s="38"/>
      <c r="P83" s="28"/>
      <c r="Q83" s="140"/>
      <c r="R83" s="140"/>
      <c r="S83" s="39"/>
    </row>
    <row r="84" spans="1:19" ht="11.25">
      <c r="A84" s="34">
        <v>12</v>
      </c>
      <c r="B84" s="16" t="str">
        <f>HLOOKUP(language!$C$3,language!$E$1:$Z558,32,FALSE)</f>
        <v>Firmware Version</v>
      </c>
      <c r="C84" s="20" t="str">
        <f>HLOOKUP(language!$C$3,language!$E$1:$Z560,33,FALSE)</f>
        <v>Firmware release number</v>
      </c>
      <c r="D84" s="43" t="s">
        <v>37</v>
      </c>
      <c r="E84" s="138">
        <v>0</v>
      </c>
      <c r="F84" s="138">
        <v>0</v>
      </c>
      <c r="G84" s="35" t="s">
        <v>47</v>
      </c>
      <c r="I84" s="20" t="str">
        <f>HLOOKUP(language!$C$3,language!$E$1:$Z560,33,FALSE)</f>
        <v>Firmware release number</v>
      </c>
      <c r="J84" s="43" t="s">
        <v>37</v>
      </c>
      <c r="K84" s="138"/>
      <c r="L84" s="138"/>
      <c r="M84" s="35" t="s">
        <v>47</v>
      </c>
      <c r="O84" s="20" t="str">
        <f>HLOOKUP(language!$C$3,language!$E$1:$Z560,50,FALSE)</f>
        <v>Latest available firmware</v>
      </c>
      <c r="P84" s="43" t="s">
        <v>135</v>
      </c>
      <c r="Q84" s="138"/>
      <c r="R84" s="138"/>
      <c r="S84" s="35" t="s">
        <v>47</v>
      </c>
    </row>
    <row r="85" spans="1:19" ht="11.25">
      <c r="A85" s="37"/>
      <c r="B85" s="41"/>
      <c r="C85" s="38"/>
      <c r="D85" s="28"/>
      <c r="E85" s="140"/>
      <c r="F85" s="140"/>
      <c r="G85" s="39"/>
      <c r="I85" s="38"/>
      <c r="J85" s="28"/>
      <c r="K85" s="140"/>
      <c r="L85" s="140"/>
      <c r="M85" s="39"/>
      <c r="O85" s="38" t="str">
        <f>HLOOKUP(language!$C$3,language!$E$1:$Z561,51,FALSE)</f>
        <v>Legacy firmware</v>
      </c>
      <c r="P85" s="180" t="s">
        <v>37</v>
      </c>
      <c r="Q85" s="140"/>
      <c r="R85" s="140"/>
      <c r="S85" s="39"/>
    </row>
    <row r="86" spans="1:19" ht="11.25">
      <c r="A86" s="34">
        <v>13</v>
      </c>
      <c r="B86" s="16" t="str">
        <f>HLOOKUP(language!$C$3,language!$E$1:$Z560,34,FALSE)</f>
        <v>Hardware Design Suffix</v>
      </c>
      <c r="C86" s="20" t="str">
        <f>HLOOKUP(language!$C$3,language!$E$1:$Z562,35,FALSE)</f>
        <v>Standard hardware release</v>
      </c>
      <c r="D86" s="43" t="s">
        <v>33</v>
      </c>
      <c r="E86" s="138">
        <v>0</v>
      </c>
      <c r="F86" s="138">
        <v>0</v>
      </c>
      <c r="G86" s="35" t="s">
        <v>47</v>
      </c>
      <c r="I86" s="20" t="s">
        <v>157</v>
      </c>
      <c r="J86" s="43" t="s">
        <v>33</v>
      </c>
      <c r="K86" s="138"/>
      <c r="L86" s="138"/>
      <c r="M86" s="35" t="s">
        <v>47</v>
      </c>
      <c r="O86" s="20" t="s">
        <v>157</v>
      </c>
      <c r="P86" s="43" t="s">
        <v>33</v>
      </c>
      <c r="Q86" s="138"/>
      <c r="R86" s="138"/>
      <c r="S86" s="35" t="s">
        <v>47</v>
      </c>
    </row>
    <row r="87" spans="1:19" ht="11.25">
      <c r="A87" s="36"/>
      <c r="B87" s="18"/>
      <c r="C87" s="21"/>
      <c r="D87" s="173"/>
      <c r="E87" s="139"/>
      <c r="F87" s="139"/>
      <c r="G87" s="17"/>
      <c r="I87" s="193" t="s">
        <v>160</v>
      </c>
      <c r="J87" s="173" t="s">
        <v>33</v>
      </c>
      <c r="K87" s="139"/>
      <c r="L87" s="139"/>
      <c r="M87" s="17" t="s">
        <v>47</v>
      </c>
      <c r="O87" s="193" t="s">
        <v>160</v>
      </c>
      <c r="P87" s="173" t="s">
        <v>33</v>
      </c>
      <c r="Q87" s="139"/>
      <c r="R87" s="139"/>
      <c r="S87" s="17" t="s">
        <v>47</v>
      </c>
    </row>
    <row r="88" spans="1:19" ht="11.25">
      <c r="A88" s="37"/>
      <c r="B88" s="41"/>
      <c r="C88" s="38"/>
      <c r="D88" s="28"/>
      <c r="E88" s="140"/>
      <c r="F88" s="140"/>
      <c r="G88" s="39"/>
      <c r="I88" s="38"/>
      <c r="J88" s="28"/>
      <c r="K88" s="140"/>
      <c r="L88" s="140"/>
      <c r="M88" s="39"/>
      <c r="O88" s="38"/>
      <c r="P88" s="28"/>
      <c r="Q88" s="140"/>
      <c r="R88" s="140"/>
      <c r="S88" s="39"/>
    </row>
  </sheetData>
  <sheetProtection/>
  <printOptions/>
  <pageMargins left="0.511811024" right="0.511811024" top="0.787401575" bottom="0.787401575" header="0.31496062" footer="0.31496062"/>
  <pageSetup orientation="portrait" paperSize="9"/>
  <ignoredErrors>
    <ignoredError sqref="D84" numberStoredAsText="1"/>
  </ignoredErrors>
</worksheet>
</file>

<file path=xl/worksheets/sheet7.xml><?xml version="1.0" encoding="utf-8"?>
<worksheet xmlns="http://schemas.openxmlformats.org/spreadsheetml/2006/main" xmlns:r="http://schemas.openxmlformats.org/officeDocument/2006/relationships">
  <dimension ref="A1:F54"/>
  <sheetViews>
    <sheetView zoomScale="115" zoomScaleNormal="115" zoomScalePageLayoutView="0" workbookViewId="0" topLeftCell="D10">
      <selection activeCell="F53" sqref="F53"/>
    </sheetView>
  </sheetViews>
  <sheetFormatPr defaultColWidth="11.421875" defaultRowHeight="15"/>
  <cols>
    <col min="1" max="1" width="2.421875" style="1" customWidth="1"/>
    <col min="2" max="2" width="28.8515625" style="2" customWidth="1"/>
    <col min="3" max="3" width="3.140625" style="3" customWidth="1"/>
    <col min="4" max="4" width="3.140625" style="2" customWidth="1"/>
    <col min="5" max="6" width="75.7109375" style="4" customWidth="1"/>
    <col min="7" max="16384" width="11.421875" style="2" customWidth="1"/>
  </cols>
  <sheetData>
    <row r="1" spans="2:6" ht="11.25">
      <c r="B1" s="2" t="s">
        <v>0</v>
      </c>
      <c r="E1" s="4" t="s">
        <v>1</v>
      </c>
      <c r="F1" s="4" t="s">
        <v>2</v>
      </c>
    </row>
    <row r="2" spans="5:6" ht="11.25">
      <c r="E2" s="4" t="s">
        <v>3</v>
      </c>
      <c r="F2" s="4" t="s">
        <v>4</v>
      </c>
    </row>
    <row r="3" spans="1:6" ht="11.25">
      <c r="A3" s="5">
        <v>1</v>
      </c>
      <c r="B3" s="6" t="str">
        <f>VLOOKUP(A3,A4:C6,2,FALSE)</f>
        <v>English</v>
      </c>
      <c r="C3" s="7" t="str">
        <f>VLOOKUP(A3,A4:C6,3,FALSE)</f>
        <v>En</v>
      </c>
      <c r="D3" s="8"/>
      <c r="E3" s="4" t="s">
        <v>129</v>
      </c>
      <c r="F3" s="4" t="s">
        <v>130</v>
      </c>
    </row>
    <row r="4" spans="1:6" ht="11.25">
      <c r="A4" s="9">
        <v>1</v>
      </c>
      <c r="B4" s="8" t="s">
        <v>5</v>
      </c>
      <c r="C4" s="10" t="s">
        <v>1</v>
      </c>
      <c r="D4" s="8"/>
      <c r="E4" s="4" t="s">
        <v>114</v>
      </c>
      <c r="F4" s="4" t="s">
        <v>114</v>
      </c>
    </row>
    <row r="5" spans="1:6" ht="11.25">
      <c r="A5" s="9">
        <v>2</v>
      </c>
      <c r="B5" s="8" t="s">
        <v>6</v>
      </c>
      <c r="C5" s="10" t="s">
        <v>2</v>
      </c>
      <c r="D5" s="8"/>
      <c r="E5" s="4" t="s">
        <v>61</v>
      </c>
      <c r="F5" s="4" t="s">
        <v>62</v>
      </c>
    </row>
    <row r="6" spans="1:6" ht="11.25">
      <c r="A6" s="11"/>
      <c r="B6" s="12"/>
      <c r="C6" s="13"/>
      <c r="D6" s="8"/>
      <c r="E6" s="4" t="s">
        <v>64</v>
      </c>
      <c r="F6" s="4" t="s">
        <v>65</v>
      </c>
    </row>
    <row r="7" spans="5:6" ht="11.25">
      <c r="E7" s="4" t="s">
        <v>63</v>
      </c>
      <c r="F7" s="4" t="s">
        <v>63</v>
      </c>
    </row>
    <row r="8" spans="5:6" ht="11.25">
      <c r="E8" s="4" t="s">
        <v>7</v>
      </c>
      <c r="F8" s="4" t="s">
        <v>8</v>
      </c>
    </row>
    <row r="9" spans="5:6" ht="11.25">
      <c r="E9" s="4" t="s">
        <v>66</v>
      </c>
      <c r="F9" s="4" t="s">
        <v>67</v>
      </c>
    </row>
    <row r="10" spans="5:6" ht="11.25">
      <c r="E10" s="4" t="s">
        <v>68</v>
      </c>
      <c r="F10" s="4" t="s">
        <v>69</v>
      </c>
    </row>
    <row r="11" spans="5:6" ht="11.25">
      <c r="E11" s="4" t="s">
        <v>70</v>
      </c>
      <c r="F11" s="4" t="s">
        <v>74</v>
      </c>
    </row>
    <row r="12" spans="5:6" ht="11.25">
      <c r="E12" s="4" t="s">
        <v>71</v>
      </c>
      <c r="F12" s="4" t="s">
        <v>75</v>
      </c>
    </row>
    <row r="13" spans="5:6" ht="11.25">
      <c r="E13" s="4" t="s">
        <v>72</v>
      </c>
      <c r="F13" s="4" t="s">
        <v>76</v>
      </c>
    </row>
    <row r="14" spans="5:6" ht="11.25">
      <c r="E14" s="4" t="s">
        <v>73</v>
      </c>
      <c r="F14" s="4" t="s">
        <v>77</v>
      </c>
    </row>
    <row r="15" spans="5:6" ht="11.25">
      <c r="E15" s="4" t="s">
        <v>80</v>
      </c>
      <c r="F15" s="4" t="s">
        <v>81</v>
      </c>
    </row>
    <row r="16" spans="5:6" ht="11.25">
      <c r="E16" s="4" t="s">
        <v>82</v>
      </c>
      <c r="F16" s="4" t="s">
        <v>87</v>
      </c>
    </row>
    <row r="17" spans="5:6" ht="11.25">
      <c r="E17" s="4" t="s">
        <v>83</v>
      </c>
      <c r="F17" s="4" t="s">
        <v>88</v>
      </c>
    </row>
    <row r="18" spans="5:6" ht="11.25">
      <c r="E18" s="4" t="s">
        <v>84</v>
      </c>
      <c r="F18" s="4" t="s">
        <v>89</v>
      </c>
    </row>
    <row r="19" spans="5:6" ht="11.25">
      <c r="E19" s="4" t="s">
        <v>85</v>
      </c>
      <c r="F19" s="4" t="s">
        <v>90</v>
      </c>
    </row>
    <row r="20" spans="5:6" ht="11.25">
      <c r="E20" s="4" t="s">
        <v>86</v>
      </c>
      <c r="F20" s="4" t="s">
        <v>91</v>
      </c>
    </row>
    <row r="21" spans="5:6" ht="11.25">
      <c r="E21" s="4" t="s">
        <v>92</v>
      </c>
      <c r="F21" s="4" t="s">
        <v>100</v>
      </c>
    </row>
    <row r="22" spans="5:6" ht="11.25">
      <c r="E22" s="4" t="s">
        <v>93</v>
      </c>
      <c r="F22" s="4" t="s">
        <v>101</v>
      </c>
    </row>
    <row r="23" spans="5:6" ht="11.25">
      <c r="E23" s="4" t="s">
        <v>94</v>
      </c>
      <c r="F23" s="4" t="s">
        <v>102</v>
      </c>
    </row>
    <row r="24" spans="5:6" ht="11.25">
      <c r="E24" s="4" t="s">
        <v>95</v>
      </c>
      <c r="F24" s="4" t="s">
        <v>103</v>
      </c>
    </row>
    <row r="25" spans="5:6" ht="11.25">
      <c r="E25" s="4" t="s">
        <v>96</v>
      </c>
      <c r="F25" s="4" t="s">
        <v>104</v>
      </c>
    </row>
    <row r="26" spans="5:6" ht="11.25">
      <c r="E26" s="4" t="s">
        <v>97</v>
      </c>
      <c r="F26" s="4" t="s">
        <v>105</v>
      </c>
    </row>
    <row r="27" spans="5:6" ht="11.25">
      <c r="E27" s="4" t="s">
        <v>98</v>
      </c>
      <c r="F27" s="4" t="s">
        <v>106</v>
      </c>
    </row>
    <row r="28" spans="5:6" ht="11.25">
      <c r="E28" s="4" t="s">
        <v>99</v>
      </c>
      <c r="F28" s="4" t="s">
        <v>107</v>
      </c>
    </row>
    <row r="29" spans="5:6" ht="11.25">
      <c r="E29" s="4" t="s">
        <v>108</v>
      </c>
      <c r="F29" s="4" t="s">
        <v>109</v>
      </c>
    </row>
    <row r="30" spans="5:6" ht="11.25">
      <c r="E30" s="4" t="s">
        <v>110</v>
      </c>
      <c r="F30" s="4" t="s">
        <v>112</v>
      </c>
    </row>
    <row r="31" spans="5:6" ht="11.25">
      <c r="E31" s="4" t="s">
        <v>111</v>
      </c>
      <c r="F31" s="4" t="s">
        <v>113</v>
      </c>
    </row>
    <row r="32" spans="5:6" ht="11.25">
      <c r="E32" s="4" t="s">
        <v>11</v>
      </c>
      <c r="F32" s="4" t="s">
        <v>12</v>
      </c>
    </row>
    <row r="33" spans="5:6" ht="11.25">
      <c r="E33" s="4" t="s">
        <v>9</v>
      </c>
      <c r="F33" s="4" t="s">
        <v>10</v>
      </c>
    </row>
    <row r="34" spans="5:6" ht="11.25">
      <c r="E34" s="4" t="s">
        <v>13</v>
      </c>
      <c r="F34" s="4" t="s">
        <v>14</v>
      </c>
    </row>
    <row r="35" spans="5:6" ht="11.25">
      <c r="E35" s="2" t="s">
        <v>126</v>
      </c>
      <c r="F35" s="2" t="s">
        <v>125</v>
      </c>
    </row>
    <row r="36" spans="5:6" ht="11.25">
      <c r="E36" s="4" t="s">
        <v>15</v>
      </c>
      <c r="F36" s="4" t="s">
        <v>16</v>
      </c>
    </row>
    <row r="37" spans="5:6" ht="11.25">
      <c r="E37" s="4" t="s">
        <v>115</v>
      </c>
      <c r="F37" s="4" t="s">
        <v>117</v>
      </c>
    </row>
    <row r="38" spans="5:6" ht="11.25">
      <c r="E38" s="4" t="s">
        <v>116</v>
      </c>
      <c r="F38" s="4" t="s">
        <v>118</v>
      </c>
    </row>
    <row r="39" spans="5:6" ht="11.25">
      <c r="E39" s="4" t="s">
        <v>25</v>
      </c>
      <c r="F39" s="4" t="s">
        <v>26</v>
      </c>
    </row>
    <row r="40" spans="5:6" ht="11.25">
      <c r="E40" s="4" t="s">
        <v>27</v>
      </c>
      <c r="F40" s="4" t="s">
        <v>28</v>
      </c>
    </row>
    <row r="41" spans="5:6" ht="11.25">
      <c r="E41" s="4" t="s">
        <v>29</v>
      </c>
      <c r="F41" s="4" t="s">
        <v>30</v>
      </c>
    </row>
    <row r="42" spans="5:6" ht="22.5">
      <c r="E42" s="4" t="s">
        <v>19</v>
      </c>
      <c r="F42" s="4" t="s">
        <v>20</v>
      </c>
    </row>
    <row r="43" spans="5:6" ht="22.5">
      <c r="E43" s="4" t="s">
        <v>21</v>
      </c>
      <c r="F43" s="4" t="s">
        <v>22</v>
      </c>
    </row>
    <row r="44" spans="5:6" ht="34.5">
      <c r="E44" s="14" t="s">
        <v>23</v>
      </c>
      <c r="F44" s="4" t="s">
        <v>24</v>
      </c>
    </row>
    <row r="45" spans="5:6" ht="11.25">
      <c r="E45" s="4" t="s">
        <v>17</v>
      </c>
      <c r="F45" s="4" t="s">
        <v>18</v>
      </c>
    </row>
    <row r="46" spans="5:6" ht="11.25">
      <c r="E46" s="4" t="s">
        <v>122</v>
      </c>
      <c r="F46" s="4" t="s">
        <v>122</v>
      </c>
    </row>
    <row r="47" spans="5:6" ht="11.25">
      <c r="E47" s="4" t="s">
        <v>121</v>
      </c>
      <c r="F47" s="4" t="s">
        <v>120</v>
      </c>
    </row>
    <row r="48" spans="5:6" ht="11.25">
      <c r="E48" s="4" t="s">
        <v>123</v>
      </c>
      <c r="F48" s="4" t="s">
        <v>124</v>
      </c>
    </row>
    <row r="49" spans="5:6" ht="11.25">
      <c r="E49" s="4" t="s">
        <v>127</v>
      </c>
      <c r="F49" s="4" t="s">
        <v>128</v>
      </c>
    </row>
    <row r="50" spans="5:6" ht="11.25">
      <c r="E50" s="4" t="s">
        <v>131</v>
      </c>
      <c r="F50" s="4" t="s">
        <v>133</v>
      </c>
    </row>
    <row r="51" spans="5:6" ht="11.25">
      <c r="E51" s="4" t="s">
        <v>132</v>
      </c>
      <c r="F51" s="4" t="s">
        <v>134</v>
      </c>
    </row>
    <row r="52" spans="5:6" ht="11.25">
      <c r="E52" s="4" t="s">
        <v>138</v>
      </c>
      <c r="F52" s="4" t="s">
        <v>139</v>
      </c>
    </row>
    <row r="53" spans="5:6" ht="11.25">
      <c r="E53" s="4" t="s">
        <v>136</v>
      </c>
      <c r="F53" s="4" t="s">
        <v>136</v>
      </c>
    </row>
    <row r="54" spans="5:6" ht="11.25">
      <c r="E54" s="4" t="s">
        <v>137</v>
      </c>
      <c r="F54" s="4" t="s">
        <v>137</v>
      </c>
    </row>
  </sheetData>
  <sheetProtection/>
  <printOptions/>
  <pageMargins left="0.511811024" right="0.511811024" top="0.787401575" bottom="0.787401575" header="0.31496062" footer="0.31496062"/>
  <pageSetup orientation="portrait" paperSize="9"/>
</worksheet>
</file>

<file path=xl/worksheets/sheet8.xml><?xml version="1.0" encoding="utf-8"?>
<worksheet xmlns="http://schemas.openxmlformats.org/spreadsheetml/2006/main" xmlns:r="http://schemas.openxmlformats.org/officeDocument/2006/relationships">
  <dimension ref="A1:B29"/>
  <sheetViews>
    <sheetView zoomScalePageLayoutView="0" workbookViewId="0" topLeftCell="A1">
      <selection activeCell="N29" sqref="N29"/>
    </sheetView>
  </sheetViews>
  <sheetFormatPr defaultColWidth="11.421875" defaultRowHeight="15"/>
  <cols>
    <col min="1" max="1" width="20.7109375" style="2" customWidth="1"/>
    <col min="2" max="2" width="11.421875" style="126" customWidth="1"/>
    <col min="3" max="16384" width="11.421875" style="2" customWidth="1"/>
  </cols>
  <sheetData>
    <row r="1" ht="11.25">
      <c r="A1" s="2" t="s">
        <v>119</v>
      </c>
    </row>
    <row r="3" spans="1:2" ht="11.25">
      <c r="A3" s="15"/>
      <c r="B3" s="125"/>
    </row>
    <row r="4" spans="1:2" ht="11.25">
      <c r="A4" s="15"/>
      <c r="B4" s="125"/>
    </row>
    <row r="5" spans="1:2" ht="11.25">
      <c r="A5" s="15"/>
      <c r="B5" s="125"/>
    </row>
    <row r="6" spans="1:2" ht="11.25">
      <c r="A6" s="15"/>
      <c r="B6" s="125"/>
    </row>
    <row r="7" spans="1:2" ht="11.25">
      <c r="A7" s="15"/>
      <c r="B7" s="125"/>
    </row>
    <row r="8" spans="1:2" ht="11.25">
      <c r="A8" s="15"/>
      <c r="B8" s="125"/>
    </row>
    <row r="13" spans="1:2" ht="11.25">
      <c r="A13" s="15"/>
      <c r="B13" s="15"/>
    </row>
    <row r="14" spans="1:2" ht="11.25">
      <c r="A14" s="15"/>
      <c r="B14" s="15"/>
    </row>
    <row r="17" spans="1:2" ht="11.25">
      <c r="A17" s="127" t="s">
        <v>52</v>
      </c>
      <c r="B17" s="128"/>
    </row>
    <row r="18" spans="1:2" ht="11.25">
      <c r="A18" s="129" t="s">
        <v>53</v>
      </c>
      <c r="B18" s="130"/>
    </row>
    <row r="19" spans="1:2" ht="11.25">
      <c r="A19" s="129" t="s">
        <v>54</v>
      </c>
      <c r="B19" s="131"/>
    </row>
    <row r="20" spans="1:2" ht="11.25">
      <c r="A20" s="129" t="s">
        <v>55</v>
      </c>
      <c r="B20" s="131"/>
    </row>
    <row r="21" spans="1:2" ht="11.25">
      <c r="A21" s="129" t="s">
        <v>56</v>
      </c>
      <c r="B21" s="132"/>
    </row>
    <row r="22" spans="1:2" ht="11.25">
      <c r="A22" s="133" t="s">
        <v>57</v>
      </c>
      <c r="B22" s="134"/>
    </row>
    <row r="23" spans="1:2" ht="11.25">
      <c r="A23" s="15"/>
      <c r="B23" s="15"/>
    </row>
    <row r="24" spans="1:2" ht="11.25">
      <c r="A24" s="15"/>
      <c r="B24" s="15"/>
    </row>
    <row r="25" spans="1:2" ht="11.25">
      <c r="A25" s="135"/>
      <c r="B25" s="125"/>
    </row>
    <row r="26" spans="1:2" ht="11.25">
      <c r="A26" s="135"/>
      <c r="B26" s="125"/>
    </row>
    <row r="27" spans="1:2" ht="11.25">
      <c r="A27" s="135"/>
      <c r="B27" s="125"/>
    </row>
    <row r="28" spans="1:2" ht="11.25">
      <c r="A28" s="135"/>
      <c r="B28" s="125"/>
    </row>
    <row r="29" spans="1:2" ht="11.25">
      <c r="A29" s="15"/>
      <c r="B29" s="125"/>
    </row>
  </sheetData>
  <sheetProtection/>
  <printOptions/>
  <pageMargins left="0.511811024" right="0.511811024" top="0.787401575" bottom="0.787401575" header="0.31496062" footer="0.31496062"/>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fcn</dc:creator>
  <cp:keywords/>
  <dc:description/>
  <cp:lastModifiedBy>Duffy, Richard (GE Renewable Energy)</cp:lastModifiedBy>
  <cp:lastPrinted>2016-06-23T08:48:09Z</cp:lastPrinted>
  <dcterms:created xsi:type="dcterms:W3CDTF">2015-01-23T18:58:08Z</dcterms:created>
  <dcterms:modified xsi:type="dcterms:W3CDTF">2022-07-07T11:15:48Z</dcterms:modified>
  <cp:category/>
  <cp:version/>
  <cp:contentType/>
  <cp:contentStatus/>
</cp:coreProperties>
</file>